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10.xml" ContentType="application/vnd.ms-office.chartcolorstyle+xml"/>
  <Override PartName="/xl/charts/style10.xml" ContentType="application/vnd.ms-office.chartstyle+xml"/>
  <Override PartName="/xl/charts/style11.xml" ContentType="application/vnd.ms-office.chartstyle+xml"/>
  <Override PartName="/xl/charts/colors11.xml" ContentType="application/vnd.ms-office.chartcolorstyle+xml"/>
  <Override PartName="/xl/charts/colors12.xml" ContentType="application/vnd.ms-office.chartcolorstyle+xml"/>
  <Override PartName="/xl/charts/style12.xml" ContentType="application/vnd.ms-office.chartstyle+xml"/>
  <Override PartName="/xl/charts/colors9.xml" ContentType="application/vnd.ms-office.chartcolorstyle+xml"/>
  <Override PartName="/xl/charts/colors2.xml" ContentType="application/vnd.ms-office.chartcolorstyle+xml"/>
  <Override PartName="/xl/charts/style2.xml" ContentType="application/vnd.ms-office.chart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style5.xml" ContentType="application/vnd.ms-office.chartstyle+xml"/>
  <Override PartName="/xl/charts/colors7.xml" ContentType="application/vnd.ms-office.chartcolorstyle+xml"/>
  <Override PartName="/xl/charts/style7.xml" ContentType="application/vnd.ms-office.chart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20" windowWidth="9090" windowHeight="9075" firstSheet="12" activeTab="17"/>
  </bookViews>
  <sheets>
    <sheet name="Info" sheetId="19" r:id="rId1"/>
    <sheet name="RT1SC" sheetId="3" r:id="rId2"/>
    <sheet name="RHWM" sheetId="1" r:id="rId3"/>
    <sheet name="Chart2" sheetId="22" r:id="rId4"/>
    <sheet name="RHWM-Explore" sheetId="20" r:id="rId5"/>
    <sheet name="RootCalculations" sheetId="2" r:id="rId6"/>
    <sheet name="Data4Graph" sheetId="4" r:id="rId7"/>
    <sheet name="StartRateAll" sheetId="9" r:id="rId8"/>
    <sheet name="EndRateAll" sheetId="12" r:id="rId9"/>
    <sheet name="StartRateNRU" sheetId="23" r:id="rId10"/>
    <sheet name="End-NRU-Jan24BPA" sheetId="14" r:id="rId11"/>
    <sheet name="EndRateHybrid&amp;Melded" sheetId="13" r:id="rId12"/>
    <sheet name="RateImpactsStart" sheetId="10" r:id="rId13"/>
    <sheet name="RateImpactEnd" sheetId="11" r:id="rId14"/>
    <sheet name="StartQuanity" sheetId="15" r:id="rId15"/>
    <sheet name="EndQuanity" sheetId="16" r:id="rId16"/>
    <sheet name="StartRates" sheetId="18" r:id="rId17"/>
    <sheet name="EndRates" sheetId="17" r:id="rId18"/>
  </sheets>
  <definedNames>
    <definedName name="_xlnm._FilterDatabase" localSheetId="6" hidden="1">'Data4Graph'!$B$6:$U$141</definedName>
    <definedName name="_xlnm.Print_Area" localSheetId="2">'RHWM'!$A$1:$O$149</definedName>
    <definedName name="_xlnm.Print_Area" localSheetId="4">'RHWM-Explore'!$A$1:$O$152</definedName>
    <definedName name="_xlnm.Print_Area" localSheetId="5">'RootCalculations'!$A$14:$N$162</definedName>
    <definedName name="_xlnm.Print_Area" localSheetId="1">'RT1SC'!$A$1:$J$16</definedName>
    <definedName name="_xlnm.Print_Titles" localSheetId="2">'RHWM'!$1:$3</definedName>
    <definedName name="_xlnm.Print_Titles" localSheetId="4">'RHWM-Explore'!$1:$3</definedName>
    <definedName name="_xlnm.Print_Titles" localSheetId="5">'RootCalculations'!$14:$16</definedName>
  </definedNames>
  <calcPr calcId="162913"/>
</workbook>
</file>

<file path=xl/sharedStrings.xml><?xml version="1.0" encoding="utf-8"?>
<sst xmlns="http://schemas.openxmlformats.org/spreadsheetml/2006/main" count="2266" uniqueCount="326">
  <si>
    <t>TOC</t>
  </si>
  <si>
    <t>A*</t>
  </si>
  <si>
    <t>B</t>
  </si>
  <si>
    <t>C</t>
  </si>
  <si>
    <t>D</t>
  </si>
  <si>
    <t>E</t>
  </si>
  <si>
    <t>F**</t>
  </si>
  <si>
    <t>G**</t>
  </si>
  <si>
    <t>H</t>
  </si>
  <si>
    <t>I</t>
  </si>
  <si>
    <t>J</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</si>
  <si>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</si>
  <si>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</si>
  <si>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</si>
  <si>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</si>
  <si>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</si>
  <si>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</si>
  <si>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</si>
  <si>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</si>
  <si>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</si>
  <si>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</si>
  <si>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</si>
  <si>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</si>
  <si>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</si>
  <si>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</si>
  <si>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</si>
  <si>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</si>
  <si>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</si>
  <si>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</si>
  <si>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</si>
  <si>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</si>
  <si>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</si>
  <si>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</si>
  <si>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</si>
  <si>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</si>
  <si>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</si>
  <si>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</si>
  <si>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</si>
  <si>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</si>
  <si>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</si>
  <si>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</si>
  <si>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</si>
  <si>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</si>
  <si>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</si>
  <si>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</si>
  <si>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</si>
  <si>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</si>
  <si>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</si>
  <si>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</si>
  <si>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</si>
  <si>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</si>
  <si>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</si>
  <si>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</si>
  <si>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</si>
  <si>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</si>
  <si>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</si>
  <si>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</si>
  <si>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</si>
  <si>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</si>
  <si>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</si>
  <si>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</si>
  <si>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</si>
  <si>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</si>
  <si>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</si>
  <si>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</si>
  <si>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</si>
  <si>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</si>
  <si>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</si>
  <si>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</si>
  <si>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</si>
  <si>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</si>
  <si>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</si>
  <si>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</si>
  <si>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</si>
  <si>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</si>
  <si>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</si>
  <si>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</si>
  <si>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</si>
  <si>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</si>
  <si>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</si>
  <si>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</si>
  <si>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</si>
  <si>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</si>
  <si>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</si>
  <si>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</si>
  <si>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</si>
  <si>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</si>
  <si>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</si>
  <si>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</si>
  <si>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</si>
  <si>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</si>
  <si>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</si>
  <si>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</si>
  <si>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</si>
  <si>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</si>
  <si>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</si>
  <si>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</si>
  <si>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</si>
  <si>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</si>
  <si>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</si>
  <si>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</si>
  <si>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</si>
  <si>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</si>
  <si>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</si>
  <si>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</si>
  <si>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</si>
  <si>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</si>
  <si>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</si>
  <si>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</si>
  <si>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</si>
  <si>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</si>
  <si>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</si>
  <si>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</si>
  <si>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</si>
  <si>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</si>
  <si>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</si>
  <si>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</si>
  <si>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</si>
  <si>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</si>
  <si>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</si>
  <si>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</si>
  <si>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</si>
  <si>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</si>
  <si>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</si>
  <si>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</si>
  <si>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</si>
  <si>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</si>
  <si>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</si>
  <si>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</si>
  <si>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</si>
  <si>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</si>
  <si>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</si>
  <si>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</si>
  <si>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</si>
  <si>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</si>
  <si>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</si>
  <si>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</si>
  <si>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</si>
  <si>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</si>
  <si>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</si>
  <si>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</si>
  <si>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</si>
  <si>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</si>
  <si>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</si>
  <si>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</si>
  <si>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</si>
  <si>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</si>
  <si>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</si>
  <si>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</si>
  <si>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</si>
  <si>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</si>
  <si>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</si>
  <si>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</si>
  <si>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</si>
  <si>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</si>
  <si>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T1SFCO</t>
  </si>
  <si>
    <t>RT1SC</t>
  </si>
  <si>
    <t>RT1SC System Shape</t>
  </si>
  <si>
    <t>HLH</t>
  </si>
  <si>
    <t>LLH</t>
  </si>
  <si>
    <t>Kalispel Tribe Utility</t>
  </si>
  <si>
    <t>Initial CHWM</t>
  </si>
  <si>
    <t>* CHWMs are from the Final CHWMs spreadsheet published on May 19, 2011, as adjusted for Retained Provisional CHWM on April 7, 2014 and Additional CHWMs,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parties); c) Jefferson PUD's CHWM was finalized and accounts for wheel turning load at Port Townsend Paper; and d) Kalispel's annexation of Inland Power's Initial CHWM to form a New Public.</t>
  </si>
  <si>
    <t>** The Existing/Other Resource column includes the following:  a) Existing Resource amounts in Exhibit A;  b) New Resource amounts in Exhibit A that have been added to offset Tier 1 Load (Fall River's Chester Hydro; Lane Electric's King Estate; Lower Valley's Culinary, Lower Swift Creek, and Upper Swift Creek; Salmon River's Rock Creek Hydro; Tillamook's Farm Power; and Umatilla's Moyer-Tolles Solar Array); and c) forecast generation amounts for any Consumer-Owned Resources serving either i) Onsite Consumer Load (Midstate's Interfor), or (ii) NLSL (Flathead's Sierra Pacific Biomass).</t>
  </si>
  <si>
    <t>Table 1: Tier 1 System Capability for FY 2024-2025 Rate Period</t>
  </si>
  <si>
    <t>Additional CHWM through BP-22</t>
  </si>
  <si>
    <t>TRL 2025</t>
  </si>
  <si>
    <t>Additional CHWM 2024</t>
  </si>
  <si>
    <t>Total Additional CHWM</t>
  </si>
  <si>
    <t>2024 CHWM</t>
  </si>
  <si>
    <t>Table 2: RHWM Process Outputs for FY 2024-25 Rate Period - RHWMs</t>
  </si>
  <si>
    <t>Table 3: RHWM Process Outputs for FY 2024-2025 Rate Period - Above RHWM Load Service</t>
  </si>
  <si>
    <t>Harney Elec Coop***</t>
  </si>
  <si>
    <t>Pend Oreille County PUD  #1***</t>
  </si>
  <si>
    <t>*** Harney's NLSL amounts include a forecasted NLSL and Pend Oreille's NLSL amounts include a planned NLSL, official determination for these NLSLs to occur later this year.</t>
  </si>
  <si>
    <t>CHWM 2024</t>
  </si>
  <si>
    <t>TRL 2024</t>
  </si>
  <si>
    <t>NLSL 2024</t>
  </si>
  <si>
    <t>NLSL 2025</t>
  </si>
  <si>
    <t>Existing/Other Resource aMW 2024</t>
  </si>
  <si>
    <t>Existing/Other Resource aMW 2025</t>
  </si>
  <si>
    <t>TRL - NLSL - Existing Resource 2024</t>
  </si>
  <si>
    <t>TRL - NLSL - Existing Resource 2025</t>
  </si>
  <si>
    <t>RHWM 2024</t>
  </si>
  <si>
    <t>Above RHWM 2024</t>
  </si>
  <si>
    <t>Above RHWM 2025</t>
  </si>
  <si>
    <t>Above RHWM Load Served at the LS rate 2024</t>
  </si>
  <si>
    <t>Above RHWM Load Served at the LS rate 2025</t>
  </si>
  <si>
    <t>Remaining Above RHWM 2024</t>
  </si>
  <si>
    <t>Remaining Above RHWM 2025</t>
  </si>
  <si>
    <t>RHWM</t>
  </si>
  <si>
    <t>Above RHWM/Augmentation Cost ($/MWh)</t>
  </si>
  <si>
    <t>Start</t>
  </si>
  <si>
    <t>End</t>
  </si>
  <si>
    <t>Melded</t>
  </si>
  <si>
    <t>Start Total Effective Rate ($/MWh)</t>
  </si>
  <si>
    <t>Load Change</t>
  </si>
  <si>
    <t>Load Change Lower Bound</t>
  </si>
  <si>
    <t>Load Change Upper Bound</t>
  </si>
  <si>
    <t>End Rate ($/MWh)</t>
  </si>
  <si>
    <t>Effective Rate Change to Self</t>
  </si>
  <si>
    <t>Existing Federal System (aMW)</t>
  </si>
  <si>
    <t>Start TRL - NLSL - Existing Resources</t>
  </si>
  <si>
    <t>Start Above RHWM Load</t>
  </si>
  <si>
    <t>Start Unused RHWM Load</t>
  </si>
  <si>
    <t>End TRL - NLSL - Existing Resources</t>
  </si>
  <si>
    <t>Start Tier 1 Purchase</t>
  </si>
  <si>
    <t>End Tier 1 Purchase</t>
  </si>
  <si>
    <t xml:space="preserve">End Above RHWM </t>
  </si>
  <si>
    <t>End Unused RHWM Load</t>
  </si>
  <si>
    <t>Fully Subcribed Tier 1 Cost without Aug ($/MWh)</t>
  </si>
  <si>
    <t>Revenue Requirement before Aug</t>
  </si>
  <si>
    <t>Total RHWM</t>
  </si>
  <si>
    <t>Start Augmentation</t>
  </si>
  <si>
    <t>Start Total Unused RHWM Load</t>
  </si>
  <si>
    <t>Start Total Tier 1 Load</t>
  </si>
  <si>
    <t>Start Tier 1 Rate $/MWh</t>
  </si>
  <si>
    <t>End Total Tier 1 Load</t>
  </si>
  <si>
    <t>End Augmentation</t>
  </si>
  <si>
    <t>End Total Unused RHWM Load</t>
  </si>
  <si>
    <t>End Tier 1 Rate $/MWh</t>
  </si>
  <si>
    <t xml:space="preserve">Start Power Purchases </t>
  </si>
  <si>
    <t>Start Power Sales</t>
  </si>
  <si>
    <t>Start Firm Surplus</t>
  </si>
  <si>
    <t>Start PF Rate $/MWh</t>
  </si>
  <si>
    <t>Start Total Above RHWM Load</t>
  </si>
  <si>
    <t>End Total Above RHWM Load</t>
  </si>
  <si>
    <t>Start Tier 1 Augmentation</t>
  </si>
  <si>
    <t>End Tier 1 Augmentation</t>
  </si>
  <si>
    <t>End Firm Surplus</t>
  </si>
  <si>
    <t>End Power Sales</t>
  </si>
  <si>
    <t>End PF Rate $/MWh</t>
  </si>
  <si>
    <t>End Total TRL</t>
  </si>
  <si>
    <t>% Keep Above/Unused RHWM</t>
  </si>
  <si>
    <t>End TRL</t>
  </si>
  <si>
    <t>Start TRL</t>
  </si>
  <si>
    <t>Total Load Change</t>
  </si>
  <si>
    <t>End Tier 1 Rate</t>
  </si>
  <si>
    <t>Rollover Tier</t>
  </si>
  <si>
    <t>Utility</t>
  </si>
  <si>
    <t>Max</t>
  </si>
  <si>
    <t>Min</t>
  </si>
  <si>
    <t>Start Aug</t>
  </si>
  <si>
    <t>End Aug</t>
  </si>
  <si>
    <t>End Above-RHWM</t>
  </si>
  <si>
    <t>N/A</t>
  </si>
  <si>
    <t>Names</t>
  </si>
  <si>
    <t>Acquisition Cost ($/MWh)</t>
  </si>
  <si>
    <t>Various Graph Stats &amp; Labels</t>
  </si>
  <si>
    <t>End Unused RHWM</t>
  </si>
  <si>
    <t>Quantity Graph</t>
  </si>
  <si>
    <t>Augmentation</t>
  </si>
  <si>
    <t>Above-RHWM</t>
  </si>
  <si>
    <t>Unused RHWM</t>
  </si>
  <si>
    <t>Firm Surplus</t>
  </si>
  <si>
    <t>Tier 1 / PF Public</t>
  </si>
  <si>
    <t>Contact information:</t>
  </si>
  <si>
    <t xml:space="preserve">post2028@bpa.gov </t>
  </si>
  <si>
    <t>Date released</t>
  </si>
  <si>
    <t>Context:</t>
  </si>
  <si>
    <t>System Size and Rate Design Tool</t>
  </si>
  <si>
    <t>Table of Contents</t>
  </si>
  <si>
    <t>Tab</t>
  </si>
  <si>
    <t>Description</t>
  </si>
  <si>
    <t>Info</t>
  </si>
  <si>
    <t xml:space="preserve">BPA has developed this tool using the final BP-24 RHWM spreadsheet as its base to help customers understand how different levels of augmentation and rate design can impact the effective rate different customers may pay for power.  The tool assumes all Above-RHWM load will cost the same regardless of whether BPA serves it through a Tier 2 rate or the customer serves it with a non-Federal resource.  The analysis includes a "start" evaluation and an "end" evaluation - the start being the start of the contract and the end being some later point in time after load changes are considered.  The load changes are set to be random and will repopulate new random load changes each time the spreadsheet is opened, changed, saved, or refreshed by pressing the F9 key on your keyboard.  The results do not include any other rate design aspects that can cause different customer effective rates, meaning the results are an annual evaluation of Tier 1 and Above-RHWM amounts (if applicable) only and do not consider monthly, HLH, and LLH shape differences.  Similarly, the tool does not apply LDD, IRD, demand, or any other rate design components that ultimately cause customers to pay different effective $/MWh amounts for the power they purchase from BPA.  </t>
  </si>
  <si>
    <t>An overview of the tool.</t>
  </si>
  <si>
    <t xml:space="preserve">The base RHWM used in the calculations.  </t>
  </si>
  <si>
    <t xml:space="preserve">The base RT1SC used in the calculations.  </t>
  </si>
  <si>
    <t>RootCalculations</t>
  </si>
  <si>
    <t>Data4Graphs</t>
  </si>
  <si>
    <t>Tab used to set augmentation costs, load change assumptions for the "end" state, and the calculation of the effective rate under 4 different frameworks.  "Rollover Tier" assumes BPA continues to Tier the system and carries forward with the exact same RHWM used in Regional Dialogue.  "Rollover 50/50 Tier" assumes Regional Dialogue tiered rates but reduces Above-RHWM exposure by 50% and reduces Unused-RHWM by 50%.  "Hybrid" removes all Above-RHWM exposure at the start of the contract and leaves all Unused-RHWM unchanged from BP-24.  "Melded" assumes BPA returns to a melded rate construct, protects the base PF rate from some sort of load growth limit (not defined or implemented in toot), and uses other tools to encourage non-Federal resource development.   This tab also has various checks to ensure each is collecting the same amount of money.</t>
  </si>
  <si>
    <t>Sorts and summarizes the RootCalculations information and creates dynamic labels for the graphs produced by the tool.</t>
  </si>
  <si>
    <t>Headroom</t>
  </si>
  <si>
    <t>K</t>
  </si>
  <si>
    <t>L</t>
  </si>
  <si>
    <t>M</t>
  </si>
  <si>
    <t>Above-RHWM Load</t>
  </si>
  <si>
    <t>N</t>
  </si>
  <si>
    <t>New Base RHWM</t>
  </si>
  <si>
    <t>Above-RHWM Convert</t>
  </si>
  <si>
    <t>Headroom Lost</t>
  </si>
  <si>
    <t>Sum Base RHWM</t>
  </si>
  <si>
    <t>RHWM to TRL</t>
  </si>
  <si>
    <t>Sum RHWM 2024</t>
  </si>
  <si>
    <t>New Public Load</t>
  </si>
  <si>
    <t>Total Unscaled RHWM</t>
  </si>
  <si>
    <t>System Size Goal</t>
  </si>
  <si>
    <t>New RHWM no Small</t>
  </si>
  <si>
    <t>New RHWM with Small</t>
  </si>
  <si>
    <t>Scale with Small</t>
  </si>
  <si>
    <t>Sum New RHWM no Small</t>
  </si>
  <si>
    <t>Sum New RHWM with Small</t>
  </si>
  <si>
    <t>Scale no Small</t>
  </si>
  <si>
    <t>New Publics Scale</t>
  </si>
  <si>
    <t>New Above-RHWM with Small</t>
  </si>
  <si>
    <t>Existing</t>
  </si>
  <si>
    <t>Small Customer Headroom aMW</t>
  </si>
  <si>
    <t>Yes</t>
  </si>
  <si>
    <t>Conservation CHWM Adjustment</t>
  </si>
  <si>
    <t>Renewable/PURPA Adjustment</t>
  </si>
  <si>
    <t>Load Growth Adjustment</t>
  </si>
  <si>
    <t>Conservation Base Amount</t>
  </si>
  <si>
    <t>Pro-Rata Aug Adjustment</t>
  </si>
  <si>
    <t>Desired System Size</t>
  </si>
  <si>
    <t>CHWM Before Augmentation</t>
  </si>
  <si>
    <t>Approved Resource Removal</t>
  </si>
  <si>
    <t>Resource Removal Adjustment</t>
  </si>
  <si>
    <t>CHWM after Small Utility Adjustment</t>
  </si>
  <si>
    <t>Initial Augmentation</t>
  </si>
  <si>
    <t>Final CHWM</t>
  </si>
  <si>
    <t>CHWM</t>
  </si>
  <si>
    <t>Include Existing Resoruce Removal?</t>
  </si>
  <si>
    <t>No</t>
  </si>
  <si>
    <t>RAW Approved Resource Removal</t>
  </si>
  <si>
    <t>Menu Controls</t>
  </si>
  <si>
    <t>Start Load</t>
  </si>
  <si>
    <t>CHWM Before Size Adjustment</t>
  </si>
  <si>
    <t>Initial Agumentation</t>
  </si>
  <si>
    <t>Initial Surplus Firm</t>
  </si>
  <si>
    <t>NRU Proposal Tier</t>
  </si>
  <si>
    <t>BPA Jan24 Tier</t>
  </si>
  <si>
    <t>NOT HOOKED UP</t>
  </si>
  <si>
    <t>Effective Rate Change to Rollover</t>
  </si>
  <si>
    <t>Effective Rate Change to BPA Jan24 Tier</t>
  </si>
  <si>
    <t xml:space="preserve">End Power Purchases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</si>
</sst>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_(* #,##0.00_);\(* #,##0.00\);_(* &quot;-&quot;??_);_(@_)"/>
    <numFmt numFmtId="170" formatCode="#,##0.0_)\x;\(#,##0.0\)\x;0.0_)\x;@_)_x"/>
    <numFmt numFmtId="171" formatCode="#,##0.0_);\(#,##0.0\);#,##0.0_);@_)"/>
    <numFmt numFmtId="172" formatCode="&quot;$&quot;_(#,##0.00_);&quot;$&quot;\(#,##0.00\);&quot;$&quot;_(0.00_);@_)"/>
    <numFmt numFmtId="173" formatCode="#,##0.00_);\(#,##0.00\);0.00_);@_)"/>
    <numFmt numFmtId="174" formatCode="\€_(#,##0.00_);\€\(#,##0.00\);\€_(0.00_);@_)"/>
    <numFmt numFmtId="175" formatCode="0.0_)\%;\(0.0\)\%;0.0_)\%;@_)_%"/>
    <numFmt numFmtId="176" formatCode="#,##0.0_)_%;\(#,##0.0\)_%;0.0_)_%;@_)_%"/>
    <numFmt numFmtId="177" formatCode="#,##0.0_)_x;\(#,##0.0\)_x;0.0_)_x;@_)_x"/>
    <numFmt numFmtId="178" formatCode="0.000%;;"/>
    <numFmt numFmtId="179" formatCode="[$-409]mmm\-yy;@"/>
    <numFmt numFmtId="180" formatCode="_(* #,##0_);_(* \(#,##0\);_(* &quot;-&quot;??_);_(@_)"/>
    <numFmt numFmtId="181" formatCode="_(* #,##0.000_);_(* \(#,##0.000\);_(* &quot;-&quot;???_);_(@_)"/>
    <numFmt numFmtId="182" formatCode="_(&quot;$&quot;* #,##0_);_(&quot;$&quot;* \(#,##0\);_(&quot;$&quot;* &quot;-&quot;??_);_(@_)"/>
    <numFmt numFmtId="183" formatCode="0.0%"/>
    <numFmt numFmtId="184" formatCode="_(* #,##0_);_(* \(#,##0\);_(* &quot;-&quot;???_);_(@_)"/>
  </numFmts>
  <fonts count="101">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
      <b/>
      <sz val="14"/>
      <color theme="1"/>
      <name val="Arial"/>
      <family val="2"/>
    </font>
    <font>
      <sz val="11"/>
      <color theme="1"/>
      <name val="Arial"/>
      <family val="2"/>
    </font>
    <font>
      <b/>
      <sz val="11"/>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0"/>
      <name val="Calibri"/>
      <family val="2"/>
      <scheme val="minor"/>
    </font>
    <font>
      <u val="singleAccounting"/>
      <sz val="10"/>
      <color theme="0" tint="-0.4999699890613556"/>
      <name val="Calibri"/>
      <family val="2"/>
    </font>
    <font>
      <b/>
      <sz val="9"/>
      <color theme="0" tint="-0.4999699890613556"/>
      <name val="Calibri"/>
      <family val="2"/>
    </font>
    <font>
      <sz val="10"/>
      <color theme="0" tint="-0.4999699890613556"/>
      <name val="Arial"/>
      <family val="2"/>
    </font>
    <font>
      <sz val="11"/>
      <color theme="1" tint="0.35"/>
      <name val="Calibri"/>
      <family val="2"/>
    </font>
    <font>
      <sz val="9"/>
      <color theme="1" tint="0.25"/>
      <name val="Calibri"/>
      <family val="2"/>
    </font>
    <font>
      <sz val="9"/>
      <color theme="1" tint="0.35"/>
      <name val="+mn-cs"/>
      <family val="2"/>
    </font>
    <font>
      <sz val="10"/>
      <color theme="1" tint="0.35"/>
      <name val="Calibri"/>
      <family val="2"/>
    </font>
    <font>
      <sz val="9"/>
      <color theme="1" tint="0.35"/>
      <name val="Calibri"/>
      <family val="2"/>
    </font>
    <font>
      <sz val="11"/>
      <color theme="0"/>
      <name val="Calibri"/>
      <family val="2"/>
    </font>
    <font>
      <sz val="14"/>
      <color theme="1" tint="0.35"/>
      <name val="Calibri"/>
      <family val="2"/>
    </font>
    <font>
      <sz val="7"/>
      <color theme="1" tint="0.35"/>
      <name val="+mn-cs"/>
      <family val="2"/>
    </font>
    <font>
      <sz val="10"/>
      <color theme="0"/>
      <name val="Arial"/>
      <family val="2"/>
    </font>
    <font>
      <sz val="9"/>
      <color theme="0"/>
      <name val="Arial"/>
      <family val="2"/>
    </font>
  </fonts>
  <fills count="36">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rgb="FF003C71"/>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7" tint="0.5999900102615356"/>
        <bgColor indexed="64"/>
      </patternFill>
    </fill>
  </fills>
  <borders count="41">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medium"/>
      <right/>
      <top/>
      <bottom style="thin"/>
    </border>
    <border>
      <left/>
      <right style="medium"/>
      <top/>
      <bottom style="thin"/>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top style="thin"/>
      <bottom style="thin"/>
    </border>
    <border>
      <left/>
      <right style="medium"/>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2" fillId="0" borderId="0" applyNumberFormat="0" applyFill="0" applyBorder="0" applyAlignment="0" applyProtection="0"/>
    <xf numFmtId="0" fontId="12" fillId="2" borderId="0" applyNumberFormat="0" applyFont="0" applyAlignment="0" applyProtection="0"/>
    <xf numFmtId="0" fontId="12" fillId="2" borderId="0" applyNumberFormat="0" applyFont="0" applyAlignment="0" applyProtection="0"/>
    <xf numFmtId="170" fontId="12" fillId="0" borderId="0" applyFont="0" applyFill="0" applyBorder="0" applyAlignment="0" applyProtection="0"/>
    <xf numFmtId="170" fontId="12" fillId="0" borderId="0" applyFont="0" applyFill="0" applyBorder="0" applyAlignment="0" applyProtection="0"/>
    <xf numFmtId="177" fontId="12" fillId="0" borderId="0" applyFont="0" applyFill="0" applyBorder="0" applyProtection="0">
      <alignment horizontal="right"/>
    </xf>
    <xf numFmtId="177" fontId="12" fillId="0" borderId="0" applyFont="0" applyFill="0" applyBorder="0" applyProtection="0">
      <alignment horizontal="right"/>
    </xf>
    <xf numFmtId="0" fontId="53" fillId="0" borderId="0" applyNumberFormat="0" applyFill="0" applyBorder="0" applyProtection="0">
      <alignment vertical="top"/>
    </xf>
    <xf numFmtId="0" fontId="50" fillId="0" borderId="1" applyNumberFormat="0" applyFill="0" applyAlignment="0" applyProtection="0"/>
    <xf numFmtId="0" fontId="54" fillId="0" borderId="2" applyNumberFormat="0" applyFill="0" applyProtection="0">
      <alignment horizontal="center"/>
    </xf>
    <xf numFmtId="0" fontId="54" fillId="0" borderId="0" applyNumberFormat="0" applyFill="0" applyBorder="0" applyProtection="0">
      <alignment horizontal="left"/>
    </xf>
    <xf numFmtId="0" fontId="55" fillId="0" borderId="0" applyNumberFormat="0" applyFill="0" applyBorder="0" applyProtection="0">
      <alignment horizontal="centerContinuous"/>
    </xf>
    <xf numFmtId="0" fontId="35" fillId="3" borderId="0" applyNumberFormat="0" applyBorder="0" applyAlignment="0" applyProtection="0"/>
    <xf numFmtId="0" fontId="29"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35" fillId="4" borderId="0" applyNumberFormat="0" applyBorder="0" applyAlignment="0" applyProtection="0"/>
    <xf numFmtId="0" fontId="29"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35" fillId="5" borderId="0" applyNumberFormat="0" applyBorder="0" applyAlignment="0" applyProtection="0"/>
    <xf numFmtId="0" fontId="29"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7" borderId="0" applyNumberFormat="0" applyBorder="0" applyAlignment="0" applyProtection="0"/>
    <xf numFmtId="0" fontId="29"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35" fillId="8" borderId="0" applyNumberFormat="0" applyBorder="0" applyAlignment="0" applyProtection="0"/>
    <xf numFmtId="0" fontId="29"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0" borderId="0" applyNumberFormat="0" applyBorder="0" applyAlignment="0" applyProtection="0"/>
    <xf numFmtId="0" fontId="29"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35" fillId="11" borderId="0" applyNumberFormat="0" applyBorder="0" applyAlignment="0" applyProtection="0"/>
    <xf numFmtId="0" fontId="2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2" borderId="0" applyNumberFormat="0" applyBorder="0" applyAlignment="0" applyProtection="0"/>
    <xf numFmtId="0" fontId="2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36" fillId="13" borderId="0" applyNumberFormat="0" applyBorder="0" applyAlignment="0" applyProtection="0"/>
    <xf numFmtId="0" fontId="28"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36" fillId="10" borderId="0" applyNumberFormat="0" applyBorder="0" applyAlignment="0" applyProtection="0"/>
    <xf numFmtId="0" fontId="28"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36" fillId="11" borderId="0" applyNumberFormat="0" applyBorder="0" applyAlignment="0" applyProtection="0"/>
    <xf numFmtId="0" fontId="2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16"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6" fillId="17" borderId="0" applyNumberFormat="0" applyBorder="0" applyAlignment="0" applyProtection="0"/>
    <xf numFmtId="0" fontId="2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6" fillId="18" borderId="0" applyNumberFormat="0" applyBorder="0" applyAlignment="0" applyProtection="0"/>
    <xf numFmtId="0" fontId="2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36" fillId="19" borderId="0" applyNumberFormat="0" applyBorder="0" applyAlignment="0" applyProtection="0"/>
    <xf numFmtId="0" fontId="2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20"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49" fillId="0" borderId="0" applyNumberFormat="0" applyFill="0" applyBorder="0" applyAlignment="0">
      <protection locked="0"/>
    </xf>
    <xf numFmtId="0" fontId="37" fillId="4" borderId="0" applyNumberFormat="0" applyBorder="0" applyAlignment="0" applyProtection="0"/>
    <xf numFmtId="0" fontId="1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8" fillId="21" borderId="3" applyNumberFormat="0" applyAlignment="0" applyProtection="0"/>
    <xf numFmtId="0" fontId="22" fillId="21" borderId="3" applyNumberFormat="0" applyAlignment="0" applyProtection="0"/>
    <xf numFmtId="0" fontId="59" fillId="21" borderId="3" applyNumberFormat="0" applyAlignment="0" applyProtection="0"/>
    <xf numFmtId="0" fontId="59" fillId="21" borderId="3" applyNumberFormat="0" applyAlignment="0" applyProtection="0"/>
    <xf numFmtId="0" fontId="39" fillId="22" borderId="4" applyNumberFormat="0" applyAlignment="0" applyProtection="0"/>
    <xf numFmtId="0" fontId="24" fillId="22" borderId="4" applyNumberFormat="0" applyAlignment="0" applyProtection="0"/>
    <xf numFmtId="0" fontId="60" fillId="22" borderId="4" applyNumberFormat="0" applyAlignment="0" applyProtection="0"/>
    <xf numFmtId="0" fontId="60" fillId="22" borderId="4" applyNumberFormat="0" applyAlignment="0" applyProtection="0"/>
    <xf numFmtId="0" fontId="61" fillId="0" borderId="0" applyFont="0" applyFill="0" applyBorder="0" applyProtection="0">
      <alignment/>
    </xf>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61" fillId="0" borderId="0" applyFont="0" applyFill="0" applyBorder="0" applyAlignment="0" applyProtection="0"/>
    <xf numFmtId="0" fontId="61" fillId="0" borderId="5" applyNumberFormat="0" applyFont="0" applyFill="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2" fillId="0" borderId="0" applyFill="0" applyBorder="0" applyProtection="0">
      <alignment horizontal="left"/>
    </xf>
    <xf numFmtId="0" fontId="41" fillId="5" borderId="0" applyNumberFormat="0" applyBorder="0" applyAlignment="0" applyProtection="0"/>
    <xf numFmtId="0" fontId="17"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1" fillId="0" borderId="0" applyFont="0" applyFill="0" applyBorder="0" applyProtection="0">
      <alignment/>
    </xf>
    <xf numFmtId="0" fontId="64" fillId="0" borderId="0" applyProtection="0">
      <alignment horizontal="right"/>
    </xf>
    <xf numFmtId="0" fontId="14"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15"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43" fillId="8" borderId="3" applyNumberFormat="0" applyAlignment="0" applyProtection="0"/>
    <xf numFmtId="0" fontId="20" fillId="8" borderId="3" applyNumberFormat="0" applyAlignment="0" applyProtection="0"/>
    <xf numFmtId="0" fontId="68" fillId="8" borderId="3" applyNumberFormat="0" applyAlignment="0" applyProtection="0"/>
    <xf numFmtId="0" fontId="68" fillId="8" borderId="3" applyNumberFormat="0" applyAlignment="0" applyProtection="0"/>
    <xf numFmtId="0" fontId="44" fillId="0" borderId="9" applyNumberFormat="0" applyFill="0" applyAlignment="0" applyProtection="0"/>
    <xf numFmtId="0" fontId="23" fillId="0" borderId="9"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61" fillId="0" borderId="0" applyFont="0" applyFill="0" applyBorder="0" applyProtection="0">
      <alignment/>
    </xf>
    <xf numFmtId="0" fontId="45" fillId="2" borderId="0" applyNumberFormat="0" applyBorder="0" applyAlignment="0" applyProtection="0"/>
    <xf numFmtId="0" fontId="1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6" fillId="21" borderId="11" applyNumberFormat="0" applyAlignment="0" applyProtection="0"/>
    <xf numFmtId="0" fontId="21" fillId="21" borderId="11" applyNumberFormat="0" applyAlignment="0" applyProtection="0"/>
    <xf numFmtId="0" fontId="71" fillId="21" borderId="11" applyNumberFormat="0" applyAlignment="0" applyProtection="0"/>
    <xf numFmtId="0" fontId="71" fillId="21" borderId="11" applyNumberFormat="0" applyAlignment="0" applyProtection="0"/>
    <xf numFmtId="1" fontId="72" fillId="0" borderId="0" applyProtection="0">
      <alignment horizontal="right" vertical="center"/>
    </xf>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0" fontId="73" fillId="0" borderId="0" applyNumberFormat="0" applyFill="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5" fillId="0" borderId="0" applyBorder="0" applyProtection="0">
      <alignment vertical="center"/>
    </xf>
    <xf numFmtId="0" fontId="75" fillId="0" borderId="14" applyBorder="0" applyProtection="0">
      <alignment horizontal="right" vertical="center"/>
    </xf>
    <xf numFmtId="0" fontId="76" fillId="25" borderId="0" applyBorder="0" applyProtection="0">
      <alignment horizontal="centerContinuous" vertical="center"/>
    </xf>
    <xf numFmtId="0" fontId="76" fillId="26" borderId="14" applyBorder="0" applyProtection="0">
      <alignment horizontal="centerContinuous" vertical="center"/>
    </xf>
    <xf numFmtId="0" fontId="77" fillId="0" borderId="0" applyBorder="0" applyProtection="0">
      <alignment horizontal="left"/>
    </xf>
    <xf numFmtId="0" fontId="77" fillId="0" borderId="0" applyBorder="0" applyProtection="0">
      <alignment horizontal="left"/>
    </xf>
    <xf numFmtId="0" fontId="51" fillId="0" borderId="0" applyFill="0" applyBorder="0" applyProtection="0">
      <alignment horizontal="left"/>
    </xf>
    <xf numFmtId="0" fontId="12" fillId="0" borderId="13" applyFill="0" applyBorder="0" applyProtection="0">
      <alignment horizontal="left" vertical="top"/>
    </xf>
    <xf numFmtId="0" fontId="12" fillId="0" borderId="13" applyFill="0" applyBorder="0" applyProtection="0">
      <alignment horizontal="left" vertical="top"/>
    </xf>
    <xf numFmtId="0" fontId="13" fillId="0" borderId="0" applyNumberFormat="0" applyFill="0" applyBorder="0" applyAlignment="0" applyProtection="0"/>
    <xf numFmtId="0" fontId="47" fillId="0" borderId="15" applyNumberFormat="0" applyFill="0" applyAlignment="0" applyProtection="0"/>
    <xf numFmtId="0" fontId="27"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239">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11" fillId="0" borderId="0" xfId="0" applyFont="1" applyFill="1"/>
    <xf numFmtId="167" fontId="0" fillId="0" borderId="0" xfId="0" applyNumberFormat="1" applyFill="1"/>
    <xf numFmtId="0" fontId="0" fillId="0" borderId="0" xfId="0" applyFont="1" applyFill="1"/>
    <xf numFmtId="0" fontId="10" fillId="27" borderId="14" xfId="0" applyFont="1" applyFill="1" applyBorder="1" applyAlignment="1">
      <alignment horizontal="center"/>
    </xf>
    <xf numFmtId="167" fontId="10" fillId="27" borderId="14" xfId="0" applyNumberFormat="1" applyFont="1" applyFill="1" applyBorder="1" applyAlignment="1">
      <alignment horizontal="center"/>
    </xf>
    <xf numFmtId="165" fontId="10" fillId="27" borderId="14" xfId="0" applyNumberFormat="1" applyFont="1" applyFill="1" applyBorder="1" applyAlignment="1">
      <alignment horizontal="center" wrapText="1"/>
    </xf>
    <xf numFmtId="166" fontId="10" fillId="27" borderId="14" xfId="0" applyNumberFormat="1" applyFont="1" applyFill="1" applyBorder="1" applyAlignment="1">
      <alignment horizontal="center" wrapText="1"/>
    </xf>
    <xf numFmtId="167" fontId="10"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0" fontId="10" fillId="27" borderId="14" xfId="0" applyFont="1" applyFill="1" applyBorder="1" applyAlignment="1">
      <alignment horizontal="center" wrapText="1"/>
    </xf>
    <xf numFmtId="0" fontId="3" fillId="0" borderId="0" xfId="0" applyFont="1"/>
    <xf numFmtId="166" fontId="3"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0" fontId="9" fillId="0" borderId="14" xfId="0" applyFont="1" applyFill="1" applyBorder="1" applyAlignment="1">
      <alignment wrapText="1"/>
    </xf>
    <xf numFmtId="180" fontId="3" fillId="0" borderId="0" xfId="18" applyNumberFormat="1" applyFont="1"/>
    <xf numFmtId="179" fontId="3" fillId="0" borderId="0" xfId="0" applyNumberFormat="1" applyFont="1"/>
    <xf numFmtId="166" fontId="0" fillId="27" borderId="0" xfId="0" applyNumberFormat="1" applyFill="1"/>
    <xf numFmtId="180" fontId="0" fillId="0" borderId="0" xfId="18" applyNumberFormat="1" applyFont="1"/>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181" fontId="0" fillId="0" borderId="0" xfId="0" applyNumberFormat="1"/>
    <xf numFmtId="43" fontId="0" fillId="0" borderId="0" xfId="0" applyNumberFormat="1"/>
    <xf numFmtId="0" fontId="0" fillId="27" borderId="0" xfId="0" applyFont="1" applyFill="1"/>
    <xf numFmtId="0" fontId="0" fillId="0" borderId="0" xfId="0" applyFont="1" applyFill="1"/>
    <xf numFmtId="0" fontId="0" fillId="0" borderId="0" xfId="0" applyFont="1" applyFill="1" applyAlignment="1">
      <alignment horizontal="right"/>
    </xf>
    <xf numFmtId="43" fontId="0" fillId="0" borderId="0" xfId="0" applyNumberFormat="1" applyFill="1"/>
    <xf numFmtId="44" fontId="0" fillId="0" borderId="0" xfId="16" applyFont="1" applyFill="1"/>
    <xf numFmtId="180" fontId="0" fillId="0" borderId="0" xfId="0" applyNumberFormat="1" applyFill="1"/>
    <xf numFmtId="9" fontId="0" fillId="0" borderId="0" xfId="15" applyFont="1" applyFill="1"/>
    <xf numFmtId="0" fontId="0" fillId="0" borderId="0" xfId="0" applyFont="1"/>
    <xf numFmtId="164" fontId="7" fillId="27" borderId="0" xfId="0" applyNumberFormat="1" applyFont="1" applyFill="1" applyAlignment="1">
      <alignment/>
    </xf>
    <xf numFmtId="0" fontId="10" fillId="27" borderId="16" xfId="0" applyFont="1" applyFill="1" applyBorder="1" applyAlignment="1">
      <alignment horizontal="center" wrapText="1"/>
    </xf>
    <xf numFmtId="0" fontId="10" fillId="27" borderId="17" xfId="0" applyFont="1" applyFill="1" applyBorder="1" applyAlignment="1">
      <alignment horizontal="center" wrapText="1"/>
    </xf>
    <xf numFmtId="168" fontId="3" fillId="0" borderId="0" xfId="18" applyNumberFormat="1" applyFont="1" applyFill="1" applyBorder="1"/>
    <xf numFmtId="168" fontId="3" fillId="0" borderId="12" xfId="18" applyNumberFormat="1" applyFont="1" applyFill="1" applyBorder="1"/>
    <xf numFmtId="9" fontId="0" fillId="0" borderId="0" xfId="15" applyFont="1" applyFill="1" applyBorder="1" applyAlignment="1">
      <alignment horizontal="center"/>
    </xf>
    <xf numFmtId="168" fontId="3" fillId="0" borderId="0" xfId="18" applyNumberFormat="1" applyFont="1" applyFill="1" applyBorder="1" applyAlignment="1">
      <alignment horizontal="center"/>
    </xf>
    <xf numFmtId="44" fontId="0" fillId="0" borderId="0" xfId="16" applyFont="1" applyFill="1" applyBorder="1" applyAlignment="1">
      <alignment horizontal="center"/>
    </xf>
    <xf numFmtId="9" fontId="0" fillId="0" borderId="18" xfId="15" applyFont="1" applyFill="1" applyBorder="1" applyAlignment="1">
      <alignment horizontal="center"/>
    </xf>
    <xf numFmtId="9" fontId="0" fillId="0" borderId="0" xfId="0" applyNumberFormat="1" applyFill="1" applyBorder="1" applyAlignment="1">
      <alignment horizontal="center"/>
    </xf>
    <xf numFmtId="181" fontId="0" fillId="0" borderId="0" xfId="0" applyNumberFormat="1" applyFill="1" applyBorder="1" applyAlignment="1">
      <alignment horizontal="center"/>
    </xf>
    <xf numFmtId="9" fontId="0" fillId="0" borderId="12" xfId="15" applyFont="1" applyFill="1" applyBorder="1" applyAlignment="1">
      <alignment horizontal="center"/>
    </xf>
    <xf numFmtId="168" fontId="3" fillId="0" borderId="12" xfId="18" applyNumberFormat="1" applyFont="1" applyFill="1" applyBorder="1" applyAlignment="1">
      <alignment horizontal="center"/>
    </xf>
    <xf numFmtId="44" fontId="0" fillId="0" borderId="12" xfId="16" applyFont="1" applyFill="1" applyBorder="1" applyAlignment="1">
      <alignment horizontal="center"/>
    </xf>
    <xf numFmtId="9" fontId="0" fillId="0" borderId="19" xfId="15" applyFont="1" applyFill="1" applyBorder="1" applyAlignment="1">
      <alignment horizontal="center"/>
    </xf>
    <xf numFmtId="9" fontId="0" fillId="0" borderId="12" xfId="0" applyNumberFormat="1" applyFill="1" applyBorder="1" applyAlignment="1">
      <alignment horizontal="center"/>
    </xf>
    <xf numFmtId="181" fontId="0" fillId="0" borderId="12" xfId="0" applyNumberFormat="1" applyFill="1" applyBorder="1" applyAlignment="1">
      <alignment horizontal="center"/>
    </xf>
    <xf numFmtId="0" fontId="0" fillId="28" borderId="0" xfId="0" applyFill="1"/>
    <xf numFmtId="44" fontId="0" fillId="28" borderId="0" xfId="16" applyFont="1" applyFill="1"/>
    <xf numFmtId="182" fontId="0" fillId="27" borderId="0" xfId="16" applyNumberFormat="1" applyFont="1" applyFill="1"/>
    <xf numFmtId="0" fontId="10" fillId="27" borderId="0" xfId="0" applyFont="1" applyFill="1" applyBorder="1" applyAlignment="1">
      <alignment horizontal="center" wrapText="1"/>
    </xf>
    <xf numFmtId="168" fontId="3" fillId="0" borderId="20" xfId="18" applyNumberFormat="1" applyFont="1" applyFill="1" applyBorder="1"/>
    <xf numFmtId="168" fontId="3" fillId="0" borderId="21" xfId="18" applyNumberFormat="1" applyFont="1" applyFill="1" applyBorder="1"/>
    <xf numFmtId="44" fontId="0" fillId="0" borderId="0" xfId="16" applyFont="1" applyFill="1" applyAlignment="1">
      <alignment horizontal="right"/>
    </xf>
    <xf numFmtId="182" fontId="0" fillId="28" borderId="0" xfId="16" applyNumberFormat="1" applyFont="1" applyFill="1"/>
    <xf numFmtId="0" fontId="0" fillId="29" borderId="0" xfId="0" applyFill="1"/>
    <xf numFmtId="0" fontId="10" fillId="29" borderId="14" xfId="0" applyFont="1" applyFill="1" applyBorder="1" applyAlignment="1">
      <alignment horizontal="center" wrapText="1"/>
    </xf>
    <xf numFmtId="180" fontId="0" fillId="29" borderId="0" xfId="0" applyNumberFormat="1" applyFill="1"/>
    <xf numFmtId="180" fontId="0" fillId="29" borderId="0" xfId="0" applyNumberFormat="1" applyFill="1" applyAlignment="1">
      <alignment horizontal="center"/>
    </xf>
    <xf numFmtId="0" fontId="0" fillId="29" borderId="0" xfId="0" applyFill="1" applyAlignment="1">
      <alignment horizontal="center"/>
    </xf>
    <xf numFmtId="168" fontId="0" fillId="29" borderId="0" xfId="0" applyNumberFormat="1" applyFill="1" applyAlignment="1">
      <alignment horizontal="center"/>
    </xf>
    <xf numFmtId="44" fontId="0" fillId="29" borderId="0" xfId="0" applyNumberFormat="1" applyFill="1" applyAlignment="1">
      <alignment horizontal="center"/>
    </xf>
    <xf numFmtId="2" fontId="0" fillId="29" borderId="0" xfId="0" applyNumberFormat="1" applyFill="1" applyAlignment="1">
      <alignment horizontal="center"/>
    </xf>
    <xf numFmtId="166" fontId="0" fillId="29" borderId="0" xfId="0" applyNumberFormat="1" applyFill="1" applyAlignment="1">
      <alignment horizontal="center"/>
    </xf>
    <xf numFmtId="43" fontId="0" fillId="29" borderId="0" xfId="0" applyNumberFormat="1" applyFill="1" applyAlignment="1">
      <alignment horizontal="center"/>
    </xf>
    <xf numFmtId="0" fontId="0" fillId="29" borderId="0" xfId="0" applyFont="1" applyFill="1" applyAlignment="1">
      <alignment horizontal="right"/>
    </xf>
    <xf numFmtId="44" fontId="0" fillId="29" borderId="0" xfId="16" applyFont="1" applyFill="1"/>
    <xf numFmtId="182" fontId="0" fillId="0" borderId="0" xfId="0" applyNumberFormat="1" applyFill="1"/>
    <xf numFmtId="43" fontId="0" fillId="29" borderId="0" xfId="0" applyNumberFormat="1" applyFill="1"/>
    <xf numFmtId="9" fontId="0" fillId="29" borderId="0" xfId="0" applyNumberFormat="1" applyFill="1"/>
    <xf numFmtId="0" fontId="10" fillId="29" borderId="0" xfId="0" applyFont="1" applyFill="1" applyBorder="1" applyAlignment="1">
      <alignment horizontal="center" wrapText="1"/>
    </xf>
    <xf numFmtId="164" fontId="0" fillId="0" borderId="0" xfId="0" applyNumberFormat="1" applyFill="1" applyAlignment="1">
      <alignment horizontal="center"/>
    </xf>
    <xf numFmtId="164" fontId="0" fillId="0" borderId="0" xfId="0" applyNumberFormat="1" applyFont="1" applyFill="1" applyAlignment="1">
      <alignment horizontal="center"/>
    </xf>
    <xf numFmtId="181" fontId="0" fillId="0" borderId="0" xfId="0" applyNumberFormat="1" applyFill="1" applyAlignment="1">
      <alignment horizontal="center"/>
    </xf>
    <xf numFmtId="0" fontId="10" fillId="0" borderId="14" xfId="0" applyFont="1" applyFill="1" applyBorder="1" applyAlignment="1">
      <alignment horizontal="center" wrapText="1"/>
    </xf>
    <xf numFmtId="44" fontId="0" fillId="0" borderId="0" xfId="0" applyNumberFormat="1" applyFill="1"/>
    <xf numFmtId="1" fontId="0" fillId="0" borderId="0" xfId="0" applyNumberFormat="1" applyFont="1" applyFill="1"/>
    <xf numFmtId="44" fontId="0" fillId="0" borderId="0" xfId="0" applyNumberFormat="1" applyFont="1" applyFill="1"/>
    <xf numFmtId="9" fontId="0" fillId="0" borderId="0" xfId="0" applyNumberFormat="1" applyFill="1"/>
    <xf numFmtId="2" fontId="0" fillId="0" borderId="0" xfId="0" applyNumberFormat="1" applyFill="1"/>
    <xf numFmtId="0" fontId="0" fillId="0" borderId="20" xfId="0" applyFont="1" applyFill="1" applyBorder="1"/>
    <xf numFmtId="0" fontId="0" fillId="0" borderId="0" xfId="0" applyFill="1" applyBorder="1"/>
    <xf numFmtId="0" fontId="0" fillId="0" borderId="18" xfId="0" applyFill="1" applyBorder="1"/>
    <xf numFmtId="180" fontId="0" fillId="0" borderId="0" xfId="18" applyNumberFormat="1" applyFont="1" applyFill="1"/>
    <xf numFmtId="0" fontId="0" fillId="0" borderId="20" xfId="0" applyFill="1" applyBorder="1"/>
    <xf numFmtId="0" fontId="0" fillId="0" borderId="21" xfId="0" applyFill="1" applyBorder="1"/>
    <xf numFmtId="0" fontId="0" fillId="0" borderId="12" xfId="0" applyFill="1" applyBorder="1"/>
    <xf numFmtId="0" fontId="0" fillId="0" borderId="19" xfId="0" applyFill="1" applyBorder="1"/>
    <xf numFmtId="0" fontId="0" fillId="0" borderId="0" xfId="0" applyFill="1" applyAlignment="1">
      <alignment horizontal="right"/>
    </xf>
    <xf numFmtId="0" fontId="0" fillId="0" borderId="0" xfId="0" applyFont="1" applyFill="1" applyAlignment="1">
      <alignment horizontal="center"/>
    </xf>
    <xf numFmtId="0" fontId="10" fillId="0" borderId="14" xfId="0" applyFont="1" applyFill="1" applyBorder="1" applyAlignment="1">
      <alignment horizontal="center" vertical="center" wrapText="1"/>
    </xf>
    <xf numFmtId="9" fontId="0" fillId="0" borderId="0" xfId="15" applyNumberFormat="1" applyFont="1" applyFill="1"/>
    <xf numFmtId="0" fontId="0" fillId="0" borderId="0" xfId="0" applyFill="1" applyAlignment="1">
      <alignment/>
    </xf>
    <xf numFmtId="0" fontId="0" fillId="0" borderId="20" xfId="0" applyFill="1" applyBorder="1" applyAlignment="1">
      <alignment horizontal="right"/>
    </xf>
    <xf numFmtId="0" fontId="0" fillId="0" borderId="21" xfId="0" applyFill="1" applyBorder="1" applyAlignment="1">
      <alignment horizontal="right"/>
    </xf>
    <xf numFmtId="0" fontId="0" fillId="0" borderId="0" xfId="0" applyFont="1" applyFill="1" applyBorder="1" applyAlignment="1">
      <alignment horizontal="center"/>
    </xf>
    <xf numFmtId="0" fontId="0" fillId="0" borderId="18" xfId="0" applyFont="1" applyFill="1" applyBorder="1" applyAlignment="1">
      <alignment horizontal="center"/>
    </xf>
    <xf numFmtId="180" fontId="0" fillId="0" borderId="0" xfId="0" applyNumberFormat="1" applyFill="1" applyBorder="1" applyAlignment="1">
      <alignment horizontal="center"/>
    </xf>
    <xf numFmtId="180" fontId="0" fillId="0" borderId="18" xfId="0" applyNumberFormat="1" applyFill="1" applyBorder="1" applyAlignment="1">
      <alignment horizontal="center"/>
    </xf>
    <xf numFmtId="180" fontId="0" fillId="0" borderId="0" xfId="0" applyNumberFormat="1" applyFont="1" applyFill="1" applyBorder="1" applyAlignment="1">
      <alignment horizontal="center"/>
    </xf>
    <xf numFmtId="0" fontId="0" fillId="0" borderId="0" xfId="0" applyFill="1" applyBorder="1" applyAlignment="1">
      <alignment horizontal="center"/>
    </xf>
    <xf numFmtId="180" fontId="0" fillId="0" borderId="18" xfId="0" applyNumberFormat="1" applyFont="1" applyFill="1" applyBorder="1" applyAlignment="1">
      <alignment horizontal="center"/>
    </xf>
    <xf numFmtId="180" fontId="0" fillId="0" borderId="12" xfId="0" applyNumberFormat="1" applyFont="1" applyFill="1" applyBorder="1" applyAlignment="1">
      <alignment horizontal="center"/>
    </xf>
    <xf numFmtId="180" fontId="0" fillId="0" borderId="19" xfId="0" applyNumberFormat="1"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0" xfId="0" applyAlignment="1">
      <alignment wrapText="1"/>
    </xf>
    <xf numFmtId="9" fontId="0" fillId="28" borderId="0" xfId="15" applyFont="1" applyFill="1" applyBorder="1" applyAlignment="1">
      <alignment horizontal="center"/>
    </xf>
    <xf numFmtId="9" fontId="0" fillId="28" borderId="12" xfId="15" applyFont="1" applyFill="1" applyBorder="1" applyAlignment="1">
      <alignment horizontal="center"/>
    </xf>
    <xf numFmtId="0" fontId="84" fillId="0" borderId="0" xfId="0" applyFont="1"/>
    <xf numFmtId="0" fontId="80" fillId="0" borderId="0" xfId="0" applyFont="1" applyAlignment="1">
      <alignment wrapText="1"/>
    </xf>
    <xf numFmtId="0" fontId="81" fillId="0" borderId="0" xfId="0" applyFont="1" applyAlignment="1">
      <alignment wrapText="1"/>
    </xf>
    <xf numFmtId="0" fontId="82" fillId="0" borderId="0" xfId="0" applyFont="1" applyAlignment="1">
      <alignment wrapText="1"/>
    </xf>
    <xf numFmtId="0" fontId="83" fillId="0" borderId="0" xfId="205" applyFont="1" applyAlignment="1" applyProtection="1">
      <alignment wrapText="1"/>
      <protection/>
    </xf>
    <xf numFmtId="14" fontId="81" fillId="0" borderId="0" xfId="0" applyNumberFormat="1" applyFont="1" applyAlignment="1">
      <alignment horizontal="left" wrapText="1"/>
    </xf>
    <xf numFmtId="0" fontId="84" fillId="0" borderId="0" xfId="0" applyFont="1" applyAlignment="1">
      <alignment wrapText="1"/>
    </xf>
    <xf numFmtId="0" fontId="85" fillId="0" borderId="0" xfId="0" applyFont="1" applyBorder="1" applyAlignment="1">
      <alignment horizontal="left" vertical="top" wrapText="1"/>
    </xf>
    <xf numFmtId="0" fontId="86" fillId="30" borderId="25" xfId="0" applyFont="1" applyFill="1" applyBorder="1"/>
    <xf numFmtId="0" fontId="85" fillId="0" borderId="0" xfId="0" applyFont="1" applyBorder="1" applyAlignment="1">
      <alignment vertical="top" wrapText="1"/>
    </xf>
    <xf numFmtId="0" fontId="0" fillId="0" borderId="20" xfId="0" applyBorder="1"/>
    <xf numFmtId="0" fontId="0" fillId="0" borderId="20" xfId="0" applyFont="1" applyBorder="1"/>
    <xf numFmtId="0" fontId="0" fillId="0" borderId="21" xfId="0" applyFont="1" applyBorder="1"/>
    <xf numFmtId="167" fontId="87" fillId="0" borderId="0" xfId="0" applyNumberFormat="1" applyFont="1" applyFill="1"/>
    <xf numFmtId="183" fontId="87" fillId="0" borderId="0" xfId="15" applyNumberFormat="1" applyFont="1"/>
    <xf numFmtId="181" fontId="87" fillId="0" borderId="0" xfId="0" applyNumberFormat="1" applyFont="1"/>
    <xf numFmtId="9" fontId="87" fillId="27" borderId="0" xfId="0" applyNumberFormat="1" applyFont="1" applyFill="1"/>
    <xf numFmtId="0" fontId="87" fillId="27" borderId="0" xfId="0" applyFont="1" applyFill="1"/>
    <xf numFmtId="181" fontId="87" fillId="0" borderId="0" xfId="0" applyNumberFormat="1" applyFont="1" applyFill="1"/>
    <xf numFmtId="184" fontId="87" fillId="0" borderId="0" xfId="0" applyNumberFormat="1" applyFont="1" applyFill="1"/>
    <xf numFmtId="0" fontId="87" fillId="0" borderId="0" xfId="0" applyFont="1" applyFill="1"/>
    <xf numFmtId="184" fontId="87" fillId="0" borderId="0" xfId="0" applyNumberFormat="1" applyFont="1"/>
    <xf numFmtId="43" fontId="87" fillId="0" borderId="0" xfId="0" applyNumberFormat="1" applyFont="1"/>
    <xf numFmtId="43" fontId="87" fillId="0" borderId="0" xfId="0" applyNumberFormat="1" applyFont="1" applyFill="1"/>
    <xf numFmtId="10" fontId="87" fillId="0" borderId="0" xfId="15" applyNumberFormat="1" applyFont="1"/>
    <xf numFmtId="164" fontId="7" fillId="31" borderId="23" xfId="0" applyNumberFormat="1" applyFont="1" applyFill="1" applyBorder="1" applyAlignment="1">
      <alignment horizontal="center"/>
    </xf>
    <xf numFmtId="164" fontId="7" fillId="32" borderId="23" xfId="0" applyNumberFormat="1" applyFont="1" applyFill="1" applyBorder="1" applyAlignment="1">
      <alignment horizontal="center"/>
    </xf>
    <xf numFmtId="167" fontId="10" fillId="27" borderId="0" xfId="0" applyNumberFormat="1" applyFont="1" applyFill="1" applyBorder="1" applyAlignment="1">
      <alignment horizontal="center" wrapText="1"/>
    </xf>
    <xf numFmtId="167" fontId="0" fillId="27" borderId="0" xfId="0" applyNumberFormat="1" applyFill="1"/>
    <xf numFmtId="168" fontId="0" fillId="0" borderId="0" xfId="15" applyNumberFormat="1" applyFont="1" applyFill="1" applyBorder="1" applyAlignment="1">
      <alignment horizontal="center"/>
    </xf>
    <xf numFmtId="9" fontId="7" fillId="32" borderId="23" xfId="15" applyFont="1" applyFill="1" applyBorder="1" applyAlignment="1">
      <alignment horizontal="center"/>
    </xf>
    <xf numFmtId="166" fontId="0" fillId="0" borderId="0" xfId="15" applyNumberFormat="1" applyFont="1" applyFill="1" applyBorder="1" applyAlignment="1">
      <alignment horizontal="center"/>
    </xf>
    <xf numFmtId="166" fontId="7" fillId="32" borderId="23" xfId="0" applyNumberFormat="1" applyFont="1" applyFill="1" applyBorder="1" applyAlignment="1">
      <alignment horizontal="center"/>
    </xf>
    <xf numFmtId="0" fontId="0" fillId="29" borderId="0" xfId="0" applyFont="1" applyFill="1"/>
    <xf numFmtId="167" fontId="7" fillId="32" borderId="23" xfId="0" applyNumberFormat="1" applyFont="1" applyFill="1" applyBorder="1" applyAlignment="1">
      <alignment horizontal="center"/>
    </xf>
    <xf numFmtId="167" fontId="7" fillId="31" borderId="23" xfId="0" applyNumberFormat="1" applyFont="1" applyFill="1" applyBorder="1" applyAlignment="1">
      <alignment horizontal="center"/>
    </xf>
    <xf numFmtId="9" fontId="7" fillId="31" borderId="23" xfId="15" applyFont="1" applyFill="1" applyBorder="1" applyAlignment="1">
      <alignment horizontal="center"/>
    </xf>
    <xf numFmtId="43" fontId="7" fillId="31" borderId="23" xfId="18" applyFont="1" applyFill="1" applyBorder="1" applyAlignment="1">
      <alignment horizontal="center"/>
    </xf>
    <xf numFmtId="166" fontId="7" fillId="31" borderId="23" xfId="0" applyNumberFormat="1" applyFont="1" applyFill="1" applyBorder="1" applyAlignment="1">
      <alignment horizontal="center"/>
    </xf>
    <xf numFmtId="166" fontId="88" fillId="33" borderId="23" xfId="0" applyNumberFormat="1" applyFont="1" applyFill="1" applyBorder="1" applyAlignment="1">
      <alignment horizontal="center"/>
    </xf>
    <xf numFmtId="9" fontId="88" fillId="33" borderId="23" xfId="15" applyFont="1" applyFill="1" applyBorder="1" applyAlignment="1">
      <alignment horizontal="center"/>
    </xf>
    <xf numFmtId="0" fontId="89" fillId="33" borderId="16" xfId="0" applyFont="1" applyFill="1" applyBorder="1" applyAlignment="1">
      <alignment horizontal="center" wrapText="1"/>
    </xf>
    <xf numFmtId="166" fontId="90" fillId="33" borderId="0" xfId="15" applyNumberFormat="1" applyFont="1" applyFill="1" applyBorder="1" applyAlignment="1">
      <alignment horizontal="center"/>
    </xf>
    <xf numFmtId="0" fontId="90" fillId="33" borderId="0" xfId="0" applyFont="1" applyFill="1"/>
    <xf numFmtId="0" fontId="89" fillId="33" borderId="14" xfId="0" applyFont="1" applyFill="1" applyBorder="1" applyAlignment="1">
      <alignment horizontal="center" wrapText="1"/>
    </xf>
    <xf numFmtId="0" fontId="0" fillId="0" borderId="26" xfId="0" applyFont="1" applyFill="1" applyBorder="1"/>
    <xf numFmtId="164" fontId="88" fillId="33" borderId="23" xfId="0" applyNumberFormat="1" applyFont="1" applyFill="1" applyBorder="1" applyAlignment="1">
      <alignment horizontal="center"/>
    </xf>
    <xf numFmtId="44" fontId="90" fillId="33" borderId="0" xfId="16" applyFont="1" applyFill="1" applyAlignment="1">
      <alignment horizontal="center"/>
    </xf>
    <xf numFmtId="180" fontId="90" fillId="33" borderId="0" xfId="0" applyNumberFormat="1" applyFont="1" applyFill="1" applyAlignment="1">
      <alignment horizontal="center"/>
    </xf>
    <xf numFmtId="44" fontId="0" fillId="0" borderId="26" xfId="16" applyFont="1" applyFill="1" applyBorder="1" applyAlignment="1">
      <alignment horizontal="center"/>
    </xf>
    <xf numFmtId="168" fontId="87" fillId="0" borderId="0" xfId="0" applyNumberFormat="1" applyFont="1" applyFill="1" applyBorder="1" applyAlignment="1">
      <alignment horizontal="center"/>
    </xf>
    <xf numFmtId="0" fontId="85" fillId="0" borderId="27" xfId="0" applyFont="1" applyBorder="1" applyAlignment="1">
      <alignment horizontal="left" vertical="top" wrapText="1"/>
    </xf>
    <xf numFmtId="0" fontId="85" fillId="0" borderId="28" xfId="0" applyFont="1" applyBorder="1" applyAlignment="1">
      <alignment horizontal="left" vertical="top" wrapText="1"/>
    </xf>
    <xf numFmtId="0" fontId="85" fillId="0" borderId="29" xfId="0" applyFont="1" applyBorder="1" applyAlignment="1">
      <alignment horizontal="left" vertical="top" wrapText="1"/>
    </xf>
    <xf numFmtId="0" fontId="85" fillId="0" borderId="30" xfId="0" applyFont="1" applyBorder="1" applyAlignment="1">
      <alignment horizontal="left" vertical="top" wrapText="1"/>
    </xf>
    <xf numFmtId="0" fontId="85" fillId="0" borderId="22" xfId="0" applyFont="1" applyBorder="1" applyAlignment="1">
      <alignment horizontal="left" vertical="top" wrapText="1"/>
    </xf>
    <xf numFmtId="0" fontId="85" fillId="0" borderId="23" xfId="0" applyFont="1" applyBorder="1" applyAlignment="1">
      <alignment horizontal="left" vertical="top" wrapText="1"/>
    </xf>
    <xf numFmtId="0" fontId="85" fillId="0" borderId="24" xfId="0" applyFont="1" applyBorder="1" applyAlignment="1">
      <alignment horizontal="left" vertical="top" wrapText="1"/>
    </xf>
    <xf numFmtId="0" fontId="85" fillId="0" borderId="20" xfId="0" applyFont="1" applyBorder="1" applyAlignment="1">
      <alignment horizontal="left" vertical="top" wrapText="1"/>
    </xf>
    <xf numFmtId="0" fontId="85" fillId="0" borderId="0" xfId="0" applyFont="1" applyBorder="1" applyAlignment="1">
      <alignment horizontal="left" vertical="top" wrapText="1"/>
    </xf>
    <xf numFmtId="0" fontId="85" fillId="0" borderId="18" xfId="0" applyFont="1" applyBorder="1" applyAlignment="1">
      <alignment horizontal="left" vertical="top" wrapText="1"/>
    </xf>
    <xf numFmtId="0" fontId="85" fillId="0" borderId="21" xfId="0" applyFont="1" applyBorder="1" applyAlignment="1">
      <alignment horizontal="left" vertical="top" wrapText="1"/>
    </xf>
    <xf numFmtId="0" fontId="85" fillId="0" borderId="12" xfId="0" applyFont="1" applyBorder="1" applyAlignment="1">
      <alignment horizontal="left" vertical="top" wrapText="1"/>
    </xf>
    <xf numFmtId="0" fontId="85" fillId="0" borderId="19" xfId="0" applyFont="1" applyBorder="1" applyAlignment="1">
      <alignment horizontal="left" vertical="top" wrapText="1"/>
    </xf>
    <xf numFmtId="0" fontId="86" fillId="30" borderId="31" xfId="0" applyFont="1" applyFill="1" applyBorder="1" applyAlignment="1">
      <alignment horizontal="left"/>
    </xf>
    <xf numFmtId="0" fontId="86" fillId="30" borderId="32" xfId="0" applyFont="1" applyFill="1" applyBorder="1" applyAlignment="1">
      <alignment horizontal="left"/>
    </xf>
    <xf numFmtId="0" fontId="85" fillId="0" borderId="33" xfId="0" applyFont="1" applyBorder="1" applyAlignment="1">
      <alignment horizontal="left" vertical="top" wrapText="1"/>
    </xf>
    <xf numFmtId="0" fontId="85" fillId="0" borderId="34" xfId="0" applyFont="1" applyBorder="1" applyAlignment="1">
      <alignment horizontal="left" vertical="top" wrapText="1"/>
    </xf>
    <xf numFmtId="0" fontId="85" fillId="0" borderId="35" xfId="0" applyFont="1" applyBorder="1" applyAlignment="1">
      <alignment horizontal="left" vertical="top" wrapText="1"/>
    </xf>
    <xf numFmtId="0" fontId="85" fillId="0" borderId="36" xfId="0" applyFont="1" applyBorder="1" applyAlignment="1">
      <alignment horizontal="left" vertical="top" wrapText="1"/>
    </xf>
    <xf numFmtId="0" fontId="3" fillId="0" borderId="0" xfId="0" applyNumberFormat="1" applyFont="1" applyAlignment="1">
      <alignment vertical="center" wrapText="1"/>
    </xf>
    <xf numFmtId="0" fontId="0" fillId="0" borderId="0" xfId="0" applyAlignment="1">
      <alignment wrapText="1"/>
    </xf>
    <xf numFmtId="0" fontId="0" fillId="0" borderId="0" xfId="0" applyAlignment="1">
      <alignment/>
    </xf>
    <xf numFmtId="0" fontId="3" fillId="0" borderId="37" xfId="0" applyFont="1" applyBorder="1" applyAlignment="1">
      <alignment vertical="center" wrapText="1"/>
    </xf>
    <xf numFmtId="0" fontId="0" fillId="0" borderId="37" xfId="0" applyBorder="1" applyAlignment="1">
      <alignment wrapText="1"/>
    </xf>
    <xf numFmtId="0" fontId="0" fillId="0" borderId="37" xfId="0" applyBorder="1" applyAlignment="1">
      <alignment/>
    </xf>
    <xf numFmtId="164" fontId="7" fillId="34" borderId="22" xfId="0" applyNumberFormat="1" applyFont="1" applyFill="1" applyBorder="1" applyAlignment="1">
      <alignment horizontal="center"/>
    </xf>
    <xf numFmtId="164" fontId="7" fillId="34" borderId="23" xfId="0" applyNumberFormat="1" applyFont="1" applyFill="1" applyBorder="1" applyAlignment="1">
      <alignment horizontal="center"/>
    </xf>
    <xf numFmtId="164" fontId="7" fillId="34" borderId="24" xfId="0" applyNumberFormat="1" applyFont="1" applyFill="1" applyBorder="1" applyAlignment="1">
      <alignment horizontal="center"/>
    </xf>
    <xf numFmtId="164" fontId="7" fillId="31" borderId="22" xfId="0" applyNumberFormat="1" applyFont="1" applyFill="1" applyBorder="1" applyAlignment="1">
      <alignment horizontal="center"/>
    </xf>
    <xf numFmtId="164" fontId="7" fillId="31" borderId="23" xfId="0" applyNumberFormat="1" applyFont="1" applyFill="1" applyBorder="1" applyAlignment="1">
      <alignment horizontal="center"/>
    </xf>
    <xf numFmtId="164" fontId="7" fillId="31" borderId="24" xfId="0" applyNumberFormat="1" applyFont="1" applyFill="1" applyBorder="1" applyAlignment="1">
      <alignment horizontal="center"/>
    </xf>
    <xf numFmtId="164" fontId="7" fillId="35" borderId="22" xfId="0" applyNumberFormat="1" applyFont="1" applyFill="1" applyBorder="1" applyAlignment="1">
      <alignment horizontal="center"/>
    </xf>
    <xf numFmtId="164" fontId="7" fillId="35" borderId="23" xfId="0" applyNumberFormat="1" applyFont="1" applyFill="1" applyBorder="1" applyAlignment="1">
      <alignment horizontal="center"/>
    </xf>
    <xf numFmtId="164" fontId="7" fillId="35" borderId="24" xfId="0" applyNumberFormat="1" applyFont="1" applyFill="1" applyBorder="1" applyAlignment="1">
      <alignment horizontal="center"/>
    </xf>
    <xf numFmtId="164" fontId="7" fillId="32" borderId="22" xfId="0" applyNumberFormat="1" applyFont="1" applyFill="1" applyBorder="1" applyAlignment="1">
      <alignment horizontal="center"/>
    </xf>
    <xf numFmtId="164" fontId="7" fillId="32" borderId="23" xfId="0" applyNumberFormat="1" applyFont="1" applyFill="1" applyBorder="1" applyAlignment="1">
      <alignment horizontal="center"/>
    </xf>
    <xf numFmtId="164" fontId="7" fillId="32" borderId="24" xfId="0" applyNumberFormat="1" applyFont="1" applyFill="1" applyBorder="1" applyAlignment="1">
      <alignment horizontal="center"/>
    </xf>
    <xf numFmtId="0" fontId="0" fillId="29" borderId="38" xfId="0" applyFont="1" applyFill="1" applyBorder="1" applyAlignment="1">
      <alignment horizontal="center"/>
    </xf>
    <xf numFmtId="0" fontId="0" fillId="29" borderId="39" xfId="0" applyFont="1" applyFill="1" applyBorder="1" applyAlignment="1">
      <alignment horizontal="center"/>
    </xf>
    <xf numFmtId="0" fontId="0" fillId="29" borderId="40" xfId="0" applyFont="1" applyFill="1" applyBorder="1" applyAlignment="1">
      <alignment horizontal="center"/>
    </xf>
    <xf numFmtId="0" fontId="0" fillId="29" borderId="12" xfId="0" applyFont="1" applyFill="1" applyBorder="1" applyAlignment="1">
      <alignment horizontal="center"/>
    </xf>
    <xf numFmtId="0" fontId="0" fillId="29" borderId="12" xfId="0" applyFill="1" applyBorder="1" applyAlignment="1">
      <alignment horizontal="center"/>
    </xf>
    <xf numFmtId="0" fontId="0" fillId="0" borderId="21" xfId="0" applyFont="1"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3">
    <dxf>
      <font>
        <b/>
        <i/>
        <color indexed="10"/>
        <condense val="0"/>
        <extend val="0"/>
      </font>
      <border/>
    </dxf>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078"/>
          <c:y val="0.07275"/>
          <c:w val="0.9065"/>
          <c:h val="0.83225"/>
        </c:manualLayout>
      </c:layout>
      <c:barChart>
        <c:barDir val="col"/>
        <c:grouping val="clustered"/>
        <c:varyColors val="0"/>
        <c:ser>
          <c:idx val="0"/>
          <c:order val="0"/>
          <c:tx>
            <c:strRef>
              <c:f>'RHWM-Explore'!$W$3</c:f>
              <c:strCache>
                <c:ptCount val="1"/>
                <c:pt idx="0">
                  <c:v>New Above-RHWM with Small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'RHWM-Explore'!$W$4:$W$137</c:f>
              <c:numCache/>
            </c:numRef>
          </c:val>
        </c:ser>
        <c:ser>
          <c:idx val="1"/>
          <c:order val="1"/>
          <c:tx>
            <c:strRef>
              <c:f>'RHWM-Explore'!$X$3</c:f>
              <c:strCache>
                <c:ptCount val="1"/>
                <c:pt idx="0">
                  <c:v>Existing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'RHWM-Explore'!$X$4:$X$137</c:f>
              <c:numCache/>
            </c:numRef>
          </c:val>
        </c:ser>
        <c:gapWidth val="219"/>
        <c:axId val="22553643"/>
        <c:axId val="1656196"/>
      </c:barChart>
      <c:catAx>
        <c:axId val="2255364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56196"/>
        <c:crosses val="autoZero"/>
        <c:auto val="1"/>
        <c:lblOffset val="100"/>
        <c:noMultiLvlLbl val="0"/>
      </c:catAx>
      <c:valAx>
        <c:axId val="1656196"/>
        <c:scaling>
          <c:orientation val="minMax"/>
        </c:scaling>
        <c:axPos val="l"/>
        <c:majorGridlines>
          <c:spPr>
            <a:ln w="9525" cap="flat" cmpd="sng">
              <a:solidFill>
                <a:schemeClr val="tx1">
                  <a:lumMod val="15000"/>
                  <a:lumOff val="85000"/>
                </a:schemeClr>
              </a:solidFill>
              <a:round/>
            </a:ln>
          </c:spPr>
        </c:majorGridlines>
        <c:delete val="0"/>
        <c:numFmt formatCode="_(* #,##0.000_);_(* \(#,##0.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55364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Data4Graph!$W$65</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Data4Graph!$W$72</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Data4Graph!$X$72:$AA$72</c:f>
              <c:numCache/>
            </c:numRef>
          </c:val>
        </c:ser>
        <c:ser>
          <c:idx val="1"/>
          <c:order val="1"/>
          <c:tx>
            <c:strRef>
              <c:f>Data4Graph!$W$73</c:f>
              <c:strCache>
                <c:ptCount val="1"/>
                <c:pt idx="0">
                  <c:v>End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Data4Graph!$X$73:$AA$73</c:f>
              <c:numCache/>
            </c:numRef>
          </c:val>
        </c:ser>
        <c:ser>
          <c:idx val="2"/>
          <c:order val="2"/>
          <c:tx>
            <c:strRef>
              <c:f>Data4Graph!$W$74</c:f>
              <c:strCache>
                <c:ptCount val="1"/>
                <c:pt idx="0">
                  <c:v>End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Data4Graph!$X$74:$AA$74</c:f>
              <c:numCache/>
            </c:numRef>
          </c:val>
        </c:ser>
        <c:ser>
          <c:idx val="3"/>
          <c:order val="3"/>
          <c:tx>
            <c:strRef>
              <c:f>Data4Graph!$W$75</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Data4Graph!$X$75:$AA$75</c:f>
              <c:numCache/>
            </c:numRef>
          </c:val>
        </c:ser>
        <c:overlap val="-27"/>
        <c:gapWidth val="219"/>
        <c:axId val="64729635"/>
        <c:axId val="45695804"/>
      </c:barChart>
      <c:catAx>
        <c:axId val="64729635"/>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729635"/>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Data4Graph!$W$50</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Data4Graph!$X$50:$Z$50</c:f>
              <c:numCache/>
            </c:numRef>
          </c:val>
        </c:ser>
        <c:ser>
          <c:idx val="1"/>
          <c:order val="1"/>
          <c:tx>
            <c:strRef>
              <c:f>Data4Graph!$W$51</c:f>
              <c:strCache>
                <c:ptCount val="1"/>
                <c:pt idx="0">
                  <c:v>Start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Data4Graph!$X$51:$Z$51</c:f>
              <c:numCache/>
            </c:numRef>
          </c:val>
        </c:ser>
        <c:ser>
          <c:idx val="2"/>
          <c:order val="2"/>
          <c:tx>
            <c:strRef>
              <c:f>Data4Graph!$W$52</c:f>
              <c:strCache>
                <c:ptCount val="1"/>
                <c:pt idx="0">
                  <c:v>Start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Data4Graph!$X$52:$Z$52</c:f>
              <c:numCache/>
            </c:numRef>
          </c:val>
        </c:ser>
        <c:ser>
          <c:idx val="3"/>
          <c:order val="3"/>
          <c:tx>
            <c:strRef>
              <c:f>Data4Graph!$W$53</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Data4Graph!$X$53:$Z$53</c:f>
              <c:numCache/>
            </c:numRef>
          </c:val>
        </c:ser>
        <c:overlap val="-27"/>
        <c:gapWidth val="219"/>
        <c:axId val="8609053"/>
        <c:axId val="10372614"/>
      </c:barChart>
      <c:catAx>
        <c:axId val="8609053"/>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372614"/>
        <c:crosses val="autoZero"/>
        <c:auto val="1"/>
        <c:lblOffset val="100"/>
        <c:noMultiLvlLbl val="0"/>
      </c:catAx>
      <c:valAx>
        <c:axId val="10372614"/>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60905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Data4Graph!$W$58</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Data4Graph!$X$58:$Z$58</c:f>
              <c:numCache/>
            </c:numRef>
          </c:val>
        </c:ser>
        <c:ser>
          <c:idx val="1"/>
          <c:order val="1"/>
          <c:tx>
            <c:strRef>
              <c:f>Data4Graph!$W$59</c:f>
              <c:strCache>
                <c:ptCount val="1"/>
                <c:pt idx="0">
                  <c:v>End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Data4Graph!$X$59:$Z$59</c:f>
              <c:numCache/>
            </c:numRef>
          </c:val>
        </c:ser>
        <c:ser>
          <c:idx val="2"/>
          <c:order val="2"/>
          <c:tx>
            <c:strRef>
              <c:f>Data4Graph!$W$60</c:f>
              <c:strCache>
                <c:ptCount val="1"/>
                <c:pt idx="0">
                  <c:v>End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Data4Graph!$X$60:$Z$60</c:f>
              <c:numCache/>
            </c:numRef>
          </c:val>
        </c:ser>
        <c:ser>
          <c:idx val="3"/>
          <c:order val="3"/>
          <c:tx>
            <c:strRef>
              <c:f>Data4Graph!$W$61</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Data4Graph!$X$61:$Z$61</c:f>
              <c:numCache/>
            </c:numRef>
          </c:val>
        </c:ser>
        <c:overlap val="-27"/>
        <c:gapWidth val="219"/>
        <c:axId val="26244663"/>
        <c:axId val="34875376"/>
      </c:barChart>
      <c:catAx>
        <c:axId val="26244663"/>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875376"/>
        <c:crosses val="autoZero"/>
        <c:auto val="1"/>
        <c:lblOffset val="100"/>
        <c:noMultiLvlLbl val="0"/>
      </c:catAx>
      <c:valAx>
        <c:axId val="34875376"/>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24466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ser>
          <c:idx val="2"/>
          <c:order val="2"/>
          <c:tx>
            <c:strRef>
              <c:f>Data4Graph!$F$6</c:f>
              <c:strCache>
                <c:ptCount val="1"/>
                <c:pt idx="0">
                  <c:v>Start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Data4Graph!$F$7:$F$141</c:f>
              <c:numCache/>
            </c:numRef>
          </c:val>
          <c:smooth val="0"/>
        </c:ser>
        <c:ser>
          <c:idx val="3"/>
          <c:order val="3"/>
          <c:tx>
            <c:strRef>
              <c:f>Data4Graph!$G$6</c:f>
              <c:strCache>
                <c:ptCount val="1"/>
                <c:pt idx="0">
                  <c:v>Start Melded Rate</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Data4Graph!$G$7:$G$141</c:f>
              <c:numCache/>
            </c:numRef>
          </c:val>
          <c:smooth val="0"/>
        </c:ser>
        <c:axId val="14905765"/>
        <c:axId val="67043022"/>
      </c:lineChart>
      <c:catAx>
        <c:axId val="1490576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67043022"/>
        <c:crosses val="autoZero"/>
        <c:auto val="1"/>
        <c:lblOffset val="100"/>
        <c:tickLblSkip val="1"/>
        <c:noMultiLvlLbl val="0"/>
      </c:catAx>
      <c:valAx>
        <c:axId val="67043022"/>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905765"/>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Data4Graph!$H$6</c:f>
              <c:strCache>
                <c:ptCount val="1"/>
                <c:pt idx="0">
                  <c:v>End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Data4Graph!$H$7:$H$141</c:f>
              <c:numCache/>
            </c:numRef>
          </c:val>
          <c:smooth val="0"/>
        </c:ser>
        <c:ser>
          <c:idx val="1"/>
          <c:order val="1"/>
          <c:tx>
            <c:strRef>
              <c:f>Data4Graph!$I$6</c:f>
              <c:strCache>
                <c:ptCount val="1"/>
                <c:pt idx="0">
                  <c:v>End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ser>
          <c:idx val="2"/>
          <c:order val="2"/>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3"/>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66516287"/>
        <c:axId val="61775672"/>
      </c:lineChart>
      <c:lineChart>
        <c:grouping val="standard"/>
        <c:varyColors val="0"/>
        <c:ser>
          <c:idx val="4"/>
          <c:order val="4"/>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19110137"/>
        <c:axId val="37773506"/>
      </c:lineChart>
      <c:catAx>
        <c:axId val="6651628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a:t>
                </a:r>
                <a:r>
                  <a:rPr lang="en-US" cap="none" sz="1000" b="0" i="0" u="none" baseline="0">
                    <a:solidFill>
                      <a:schemeClr val="tx1">
                        <a:lumMod val="65000"/>
                        <a:lumOff val="35000"/>
                      </a:schemeClr>
                    </a:solidFill>
                    <a:latin typeface="+mn-lt"/>
                    <a:ea typeface="Calibri"/>
                    <a:cs typeface="Calibri"/>
                  </a:rPr>
                  <a:t> Start Smallest to Largest</a:t>
                </a:r>
              </a:p>
            </c:rich>
          </c:tx>
          <c:layout/>
          <c:overlay val="0"/>
          <c:spPr>
            <a:noFill/>
            <a:ln>
              <a:noFill/>
            </a:ln>
          </c:spPr>
        </c:title>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61775672"/>
        <c:crosses val="autoZero"/>
        <c:auto val="1"/>
        <c:lblOffset val="100"/>
        <c:tickLblSkip val="1"/>
        <c:noMultiLvlLbl val="0"/>
      </c:catAx>
      <c:valAx>
        <c:axId val="61775672"/>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516287"/>
        <c:crosses val="autoZero"/>
        <c:crossBetween val="between"/>
        <c:dispUnits/>
        <c:majorUnit val="1"/>
      </c:valAx>
      <c:catAx>
        <c:axId val="19110137"/>
        <c:scaling>
          <c:orientation val="minMax"/>
        </c:scaling>
        <c:axPos val="b"/>
        <c:majorGridlines>
          <c:spPr>
            <a:ln w="9525" cap="flat" cmpd="sng">
              <a:solidFill>
                <a:schemeClr val="tx1">
                  <a:lumMod val="15000"/>
                  <a:lumOff val="85000"/>
                </a:schemeClr>
              </a:solidFill>
              <a:round/>
            </a:ln>
          </c:spPr>
        </c:majorGridlines>
        <c:delete val="1"/>
        <c:majorTickMark val="out"/>
        <c:minorTickMark val="none"/>
        <c:tickLblPos val="nextTo"/>
        <c:crossAx val="37773506"/>
        <c:crosses val="autoZero"/>
        <c:auto val="1"/>
        <c:lblOffset val="100"/>
        <c:noMultiLvlLbl val="0"/>
      </c:catAx>
      <c:valAx>
        <c:axId val="37773506"/>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110137"/>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axId val="4417235"/>
        <c:axId val="39755116"/>
      </c:lineChart>
      <c:catAx>
        <c:axId val="441723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39755116"/>
        <c:crosses val="autoZero"/>
        <c:auto val="1"/>
        <c:lblOffset val="100"/>
        <c:tickLblSkip val="1"/>
        <c:noMultiLvlLbl val="0"/>
      </c:catAx>
      <c:valAx>
        <c:axId val="39755116"/>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17235"/>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0"/>
          <c:order val="1"/>
          <c:tx>
            <c:strRef>
              <c:f>Data4Graph!$I$6</c:f>
              <c:strCache>
                <c:ptCount val="1"/>
                <c:pt idx="0">
                  <c:v>End NRU Proposal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axId val="22251725"/>
        <c:axId val="66047798"/>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57559271"/>
        <c:axId val="48271392"/>
      </c:lineChart>
      <c:catAx>
        <c:axId val="2225172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66047798"/>
        <c:crosses val="autoZero"/>
        <c:auto val="1"/>
        <c:lblOffset val="50"/>
        <c:tickLblSkip val="1"/>
        <c:noMultiLvlLbl val="0"/>
      </c:catAx>
      <c:valAx>
        <c:axId val="66047798"/>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251725"/>
        <c:crosses val="autoZero"/>
        <c:crossBetween val="between"/>
        <c:dispUnits/>
        <c:majorUnit val="1"/>
      </c:valAx>
      <c:catAx>
        <c:axId val="57559271"/>
        <c:scaling>
          <c:orientation val="minMax"/>
        </c:scaling>
        <c:axPos val="b"/>
        <c:delete val="1"/>
        <c:majorTickMark val="out"/>
        <c:minorTickMark val="none"/>
        <c:tickLblPos val="nextTo"/>
        <c:crossAx val="48271392"/>
        <c:crosses val="autoZero"/>
        <c:auto val="1"/>
        <c:lblOffset val="100"/>
        <c:noMultiLvlLbl val="0"/>
      </c:catAx>
      <c:valAx>
        <c:axId val="48271392"/>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559271"/>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BPA Jan24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1"/>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31789345"/>
        <c:axId val="17668650"/>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24800123"/>
        <c:axId val="21874516"/>
      </c:lineChart>
      <c:catAx>
        <c:axId val="3178934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17668650"/>
        <c:crosses val="autoZero"/>
        <c:auto val="1"/>
        <c:lblOffset val="50"/>
        <c:tickLblSkip val="1"/>
        <c:noMultiLvlLbl val="0"/>
      </c:catAx>
      <c:valAx>
        <c:axId val="17668650"/>
        <c:scaling>
          <c:orientation val="minMax"/>
          <c:max val="50"/>
          <c:min val="3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789345"/>
        <c:crosses val="autoZero"/>
        <c:crossBetween val="between"/>
        <c:dispUnits/>
        <c:majorUnit val="1"/>
      </c:valAx>
      <c:catAx>
        <c:axId val="24800123"/>
        <c:scaling>
          <c:orientation val="minMax"/>
        </c:scaling>
        <c:axPos val="b"/>
        <c:delete val="1"/>
        <c:majorTickMark val="out"/>
        <c:minorTickMark val="none"/>
        <c:tickLblPos val="nextTo"/>
        <c:crossAx val="21874516"/>
        <c:crosses val="autoZero"/>
        <c:auto val="1"/>
        <c:lblOffset val="100"/>
        <c:noMultiLvlLbl val="0"/>
      </c:catAx>
      <c:valAx>
        <c:axId val="21874516"/>
        <c:scaling>
          <c:orientation val="minMax"/>
          <c:max val="1.4"/>
          <c:min val="0"/>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800123"/>
        <c:crosses val="max"/>
        <c:crossBetween val="between"/>
        <c:dispUnits/>
        <c:majorUnit val="0.07"/>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manualLayout>
          <c:xMode val="edge"/>
          <c:yMode val="edge"/>
          <c:x val="0.1495"/>
          <c:y val="0.012"/>
        </c:manualLayout>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Data4Graph!$N$6</c:f>
              <c:strCache>
                <c:ptCount val="1"/>
                <c:pt idx="0">
                  <c:v>Start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Data4Graph!$N$7:$N$141</c:f>
              <c:numCache/>
            </c:numRef>
          </c:val>
          <c:smooth val="0"/>
        </c:ser>
        <c:ser>
          <c:idx val="1"/>
          <c:order val="1"/>
          <c:tx>
            <c:strRef>
              <c:f>Data4Graph!$O$6</c:f>
              <c:strCache>
                <c:ptCount val="1"/>
                <c:pt idx="0">
                  <c:v>Start NRU Proposal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Data4Graph!$O$7:$O$141</c:f>
              <c:numCache/>
            </c:numRef>
          </c:val>
          <c:smooth val="0"/>
        </c:ser>
        <c:ser>
          <c:idx val="2"/>
          <c:order val="2"/>
          <c:tx>
            <c:strRef>
              <c:f>Data4Graph!$P$6</c:f>
              <c:strCache>
                <c:ptCount val="1"/>
                <c:pt idx="0">
                  <c:v>Start BPA Jan24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Data4Graph!$P$7:$P$141</c:f>
              <c:numCache/>
            </c:numRef>
          </c:val>
          <c:smooth val="0"/>
        </c:ser>
        <c:ser>
          <c:idx val="3"/>
          <c:order val="3"/>
          <c:tx>
            <c:strRef>
              <c:f>Data4Graph!$Q$6</c:f>
              <c:strCache>
                <c:ptCount val="1"/>
                <c:pt idx="0">
                  <c:v>Start Melded</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Data4Graph!$Q$7:$Q$141</c:f>
              <c:numCache/>
            </c:numRef>
          </c:val>
          <c:smooth val="0"/>
        </c:ser>
        <c:axId val="62652917"/>
        <c:axId val="27005342"/>
      </c:lineChart>
      <c:catAx>
        <c:axId val="6265291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a:t>
                </a:r>
                <a:r>
                  <a:rPr lang="en-US" cap="none" sz="1000" b="0" i="0" u="none" baseline="0">
                    <a:solidFill>
                      <a:schemeClr val="tx1">
                        <a:lumMod val="65000"/>
                        <a:lumOff val="35000"/>
                      </a:schemeClr>
                    </a:solidFill>
                    <a:latin typeface="+mn-lt"/>
                    <a:ea typeface="Calibri"/>
                    <a:cs typeface="Calibri"/>
                  </a:rPr>
                  <a: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27005342"/>
        <c:crosses val="autoZero"/>
        <c:auto val="1"/>
        <c:lblOffset val="100"/>
        <c:tickLblSkip val="1"/>
        <c:noMultiLvlLbl val="0"/>
      </c:catAx>
      <c:valAx>
        <c:axId val="2700534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Impact Relative to Start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65291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manualLayout>
          <c:xMode val="edge"/>
          <c:yMode val="edge"/>
          <c:x val="0.12275"/>
          <c:y val="0.012"/>
        </c:manualLayout>
      </c:layout>
      <c:overlay val="0"/>
      <c:spPr>
        <a:noFill/>
        <a:ln>
          <a:noFill/>
        </a:ln>
      </c:spPr>
      <c:txPr>
        <a:bodyPr vert="horz" rot="0"/>
        <a:lstStyle/>
        <a:p>
          <a:pPr>
            <a:defRPr lang="en-US" cap="none" sz="10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Data4Graph!$R$6</c:f>
              <c:strCache>
                <c:ptCount val="1"/>
                <c:pt idx="0">
                  <c:v>End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Data4Graph!$R$7:$R$141</c:f>
              <c:numCache/>
            </c:numRef>
          </c:val>
          <c:smooth val="0"/>
        </c:ser>
        <c:ser>
          <c:idx val="1"/>
          <c:order val="1"/>
          <c:tx>
            <c:strRef>
              <c:f>Data4Graph!$S$6</c:f>
              <c:strCache>
                <c:ptCount val="1"/>
                <c:pt idx="0">
                  <c:v>End NRU Proposal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Data4Graph!$S$7:$S$141</c:f>
              <c:numCache/>
            </c:numRef>
          </c:val>
          <c:smooth val="0"/>
        </c:ser>
        <c:ser>
          <c:idx val="2"/>
          <c:order val="2"/>
          <c:tx>
            <c:strRef>
              <c:f>Data4Graph!$T$6</c:f>
              <c:strCache>
                <c:ptCount val="1"/>
                <c:pt idx="0">
                  <c:v>End BPA Jan24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Data4Graph!$T$7:$T$141</c:f>
              <c:numCache/>
            </c:numRef>
          </c:val>
          <c:smooth val="0"/>
        </c:ser>
        <c:ser>
          <c:idx val="3"/>
          <c:order val="3"/>
          <c:tx>
            <c:strRef>
              <c:f>Data4Graph!$U$6</c:f>
              <c:strCache>
                <c:ptCount val="1"/>
                <c:pt idx="0">
                  <c:v>End Melded</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Data4Graph!$U$7:$U$141</c:f>
              <c:numCache/>
            </c:numRef>
          </c:val>
          <c:smooth val="0"/>
        </c:ser>
        <c:axId val="41721487"/>
        <c:axId val="39949064"/>
      </c:lineChart>
      <c:catAx>
        <c:axId val="4172148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a:t>
                </a:r>
                <a:r>
                  <a:rPr lang="en-US" cap="none" sz="1000" b="0" i="0" u="none" baseline="0">
                    <a:solidFill>
                      <a:schemeClr val="tx1">
                        <a:lumMod val="65000"/>
                        <a:lumOff val="35000"/>
                      </a:schemeClr>
                    </a:solidFill>
                    <a:latin typeface="+mn-lt"/>
                    <a:ea typeface="Calibri"/>
                    <a:cs typeface="Calibri"/>
                  </a:rPr>
                  <a: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39949064"/>
        <c:crosses val="autoZero"/>
        <c:auto val="1"/>
        <c:lblOffset val="100"/>
        <c:tickLblSkip val="1"/>
        <c:noMultiLvlLbl val="0"/>
      </c:catAx>
      <c:valAx>
        <c:axId val="3994906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Imparct</a:t>
                </a:r>
                <a:r>
                  <a:rPr lang="en-US" cap="none" sz="1000" b="0" i="0" u="none" baseline="0">
                    <a:solidFill>
                      <a:schemeClr val="tx1">
                        <a:lumMod val="65000"/>
                        <a:lumOff val="35000"/>
                      </a:schemeClr>
                    </a:solidFill>
                    <a:latin typeface="+mn-lt"/>
                    <a:ea typeface="Calibri"/>
                    <a:cs typeface="Calibri"/>
                  </a:rPr>
                  <a:t> Relative to End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72148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Data4Graph!$W$67</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Data4Graph!$X$67:$AA$67</c:f>
              <c:numCache/>
            </c:numRef>
          </c:val>
        </c:ser>
        <c:ser>
          <c:idx val="1"/>
          <c:order val="1"/>
          <c:tx>
            <c:strRef>
              <c:f>Data4Graph!$W$68</c:f>
              <c:strCache>
                <c:ptCount val="1"/>
                <c:pt idx="0">
                  <c:v>Start NRU Proposal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Data4Graph!$X$68:$AA$68</c:f>
              <c:numCache/>
            </c:numRef>
          </c:val>
        </c:ser>
        <c:ser>
          <c:idx val="2"/>
          <c:order val="2"/>
          <c:tx>
            <c:strRef>
              <c:f>Data4Graph!$W$69</c:f>
              <c:strCache>
                <c:ptCount val="1"/>
                <c:pt idx="0">
                  <c:v>Start BPA Jan24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Data4Graph!$X$69:$AA$69</c:f>
              <c:numCache/>
            </c:numRef>
          </c:val>
        </c:ser>
        <c:ser>
          <c:idx val="3"/>
          <c:order val="3"/>
          <c:tx>
            <c:strRef>
              <c:f>Data4Graph!$W$70</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Data4Graph!$X$70:$AA$70</c:f>
              <c:numCache/>
            </c:numRef>
          </c:val>
        </c:ser>
        <c:overlap val="-27"/>
        <c:gapWidth val="219"/>
        <c:axId val="23997257"/>
        <c:axId val="14648722"/>
      </c:barChart>
      <c:catAx>
        <c:axId val="23997257"/>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648722"/>
        <c:crosses val="autoZero"/>
        <c:auto val="1"/>
        <c:lblOffset val="100"/>
        <c:noMultiLvlLbl val="0"/>
      </c:catAx>
      <c:valAx>
        <c:axId val="1464872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997257"/>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60" zoomToFit="1"/>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tabSelected="1" workbookViewId="0" zoomScale="109"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09"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1</xdr:col>
      <xdr:colOff>2752725</xdr:colOff>
      <xdr:row>0</xdr:row>
      <xdr:rowOff>942975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 y="0"/>
          <a:ext cx="2819400" cy="9429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0.0845</cdr:x>
      <cdr:y>0.5725</cdr:y>
    </cdr:from>
    <cdr:to>
      <cdr:x>0.49625</cdr:x>
      <cdr:y>0.60875</cdr:y>
    </cdr:to>
    <cdr:sp macro="" textlink="Data4Graph!$Y$18">
      <cdr:nvSpPr>
        <cdr:cNvPr id="4" name="TextBox 3"/>
        <cdr:cNvSpPr txBox="1"/>
      </cdr:nvSpPr>
      <cdr:spPr>
        <a:xfrm>
          <a:off x="723900" y="3600450"/>
          <a:ext cx="35718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1000" b="0" i="0" u="none" strike="noStrike">
              <a:solidFill>
                <a:schemeClr val="bg1"/>
              </a:solidFill>
              <a:latin typeface="Arial"/>
              <a:cs typeface="Arial"/>
            </a:rPr>
            <a:pPr algn="ctr"/>
            <a:t>End BPA Jan24 Tier 1 Rate $35.06/MWh | Max $49.53/MWh</a:t>
          </a:fld>
          <a:endParaRPr lang="en-US" sz="1100">
            <a:solidFill>
              <a:schemeClr val="bg1"/>
            </a:solidFill>
          </a:endParaRPr>
        </a:p>
      </cdr:txBody>
    </cdr:sp>
  </cdr:relSizeAnchor>
  <cdr:relSizeAnchor xmlns:cdr="http://schemas.openxmlformats.org/drawingml/2006/chartDrawing">
    <cdr:from>
      <cdr:x>0.5155</cdr:x>
      <cdr:y>0.57525</cdr:y>
    </cdr:from>
    <cdr:to>
      <cdr:x>0.90575</cdr:x>
      <cdr:y>0.6115</cdr:y>
    </cdr:to>
    <cdr:sp macro="" textlink="Data4Graph!$Y$19">
      <cdr:nvSpPr>
        <cdr:cNvPr id="6" name="TextBox 5"/>
        <cdr:cNvSpPr txBox="1"/>
      </cdr:nvSpPr>
      <cdr:spPr>
        <a:xfrm>
          <a:off x="4467225" y="3619500"/>
          <a:ext cx="33909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vertOverflow="clip" wrap="square" rtlCol="0"/>
        <a:lstStyle/>
        <a:p>
          <a:pPr algn="ctr"/>
          <a:fld id="{2EECD6A4-92F2-45CF-B956-0FC771F7716E}" type="TxLink">
            <a:rPr lang="en-US" sz="1000" b="0" i="0" u="none" strike="noStrike">
              <a:solidFill>
                <a:schemeClr val="bg1"/>
              </a:solidFill>
              <a:latin typeface="Arial"/>
              <a:cs typeface="Arial"/>
            </a:rPr>
            <a:pPr algn="ctr"/>
            <a:t>End Melded 1 Rate $39.3/MWh | Max $39.3/MWh</a:t>
          </a:fld>
          <a:endParaRPr lang="en-US" sz="1100">
            <a:solidFill>
              <a:schemeClr val="bg1"/>
            </a:solidFill>
          </a:endParaRPr>
        </a:p>
      </cdr:txBody>
    </cdr:sp>
  </cdr:relSizeAnchor>
  <cdr:relSizeAnchor xmlns:cdr="http://schemas.openxmlformats.org/drawingml/2006/chartDrawing">
    <cdr:from>
      <cdr:x>0.5155</cdr:x>
      <cdr:y>0.62375</cdr:y>
    </cdr:from>
    <cdr:to>
      <cdr:x>0.90575</cdr:x>
      <cdr:y>0.66</cdr:y>
    </cdr:to>
    <cdr:sp macro="" textlink="Data4Graph!$Y$25">
      <cdr:nvSpPr>
        <cdr:cNvPr id="8" name="TextBox 1"/>
        <cdr:cNvSpPr txBox="1"/>
      </cdr:nvSpPr>
      <cdr:spPr>
        <a:xfrm>
          <a:off x="4467225" y="3924300"/>
          <a:ext cx="33909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757138F-A558-45D7-B0CC-BEFCD9AA26D9}" type="TxLink">
            <a:rPr lang="en-US" sz="1000" b="0" i="0" u="none" strike="noStrike">
              <a:solidFill>
                <a:schemeClr val="bg1"/>
              </a:solidFill>
              <a:latin typeface="Arial"/>
              <a:cs typeface="Arial"/>
            </a:rPr>
            <a:pPr algn="ctr"/>
            <a:t>End Melded Augmentation 1112 aMW</a:t>
          </a:fld>
          <a:endParaRPr lang="en-US" sz="1100">
            <a:solidFill>
              <a:schemeClr val="bg1"/>
            </a:solidFill>
          </a:endParaRPr>
        </a:p>
      </cdr:txBody>
    </cdr:sp>
  </cdr:relSizeAnchor>
  <cdr:relSizeAnchor xmlns:cdr="http://schemas.openxmlformats.org/drawingml/2006/chartDrawing">
    <cdr:from>
      <cdr:x>0.0835</cdr:x>
      <cdr:y>0.621</cdr:y>
    </cdr:from>
    <cdr:to>
      <cdr:x>0.49625</cdr:x>
      <cdr:y>0.65725</cdr:y>
    </cdr:to>
    <cdr:sp macro="" textlink="Data4Graph!$Y$24">
      <cdr:nvSpPr>
        <cdr:cNvPr id="9" name="TextBox 1"/>
        <cdr:cNvSpPr txBox="1"/>
      </cdr:nvSpPr>
      <cdr:spPr>
        <a:xfrm>
          <a:off x="723900" y="3905250"/>
          <a:ext cx="358140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1000" b="0" i="0" u="none" strike="noStrike">
              <a:solidFill>
                <a:schemeClr val="bg1"/>
              </a:solidFill>
              <a:latin typeface="Arial"/>
              <a:cs typeface="Arial"/>
            </a:rPr>
            <a:pPr algn="ctr"/>
            <a:t>End BPA Jan24 Tier 1 Augmentation 0 aMW</a:t>
          </a:fld>
          <a:endParaRPr lang="en-US" sz="1100">
            <a:solidFill>
              <a:schemeClr val="bg1"/>
            </a:solidFill>
          </a:endParaRPr>
        </a:p>
      </cdr:txBody>
    </cdr:sp>
  </cdr:relSizeAnchor>
  <cdr:relSizeAnchor xmlns:cdr="http://schemas.openxmlformats.org/drawingml/2006/chartDrawing">
    <cdr:from>
      <cdr:x>0.0845</cdr:x>
      <cdr:y>0.66875</cdr:y>
    </cdr:from>
    <cdr:to>
      <cdr:x>0.49625</cdr:x>
      <cdr:y>0.70525</cdr:y>
    </cdr:to>
    <cdr:sp macro="" textlink="Data4Graph!$Y$30">
      <cdr:nvSpPr>
        <cdr:cNvPr id="10" name="TextBox 1"/>
        <cdr:cNvSpPr txBox="1"/>
      </cdr:nvSpPr>
      <cdr:spPr>
        <a:xfrm>
          <a:off x="723900" y="4210050"/>
          <a:ext cx="35718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1000" b="0" i="0" u="none" strike="noStrike">
              <a:solidFill>
                <a:schemeClr val="bg1"/>
              </a:solidFill>
              <a:latin typeface="Arial"/>
              <a:cs typeface="Arial"/>
            </a:rPr>
            <a:pPr algn="ctr"/>
            <a:t>End BPA Jan24 Tier Above-RHWM Augmentation 1237 aMW</a:t>
          </a:fld>
          <a:endParaRPr lang="en-US" sz="1100">
            <a:solidFill>
              <a:schemeClr val="bg1"/>
            </a:solidFill>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0.0445</cdr:y>
    </cdr:from>
    <cdr:to>
      <cdr:x>0.15875</cdr:x>
      <cdr:y>0.08475</cdr:y>
    </cdr:to>
    <cdr:sp macro="" textlink="">
      <cdr:nvSpPr>
        <cdr:cNvPr id="2" name="TextBox 1"/>
        <cdr:cNvSpPr txBox="1"/>
      </cdr:nvSpPr>
      <cdr:spPr>
        <a:xfrm>
          <a:off x="114300" y="276225"/>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0.055</cdr:y>
    </cdr:from>
    <cdr:to>
      <cdr:x>0.15525</cdr:x>
      <cdr:y>0.0955</cdr:y>
    </cdr:to>
    <cdr:sp macro="" textlink="">
      <cdr:nvSpPr>
        <cdr:cNvPr id="2" name="TextBox 1"/>
        <cdr:cNvSpPr txBox="1"/>
      </cdr:nvSpPr>
      <cdr:spPr>
        <a:xfrm>
          <a:off x="85725" y="3429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0.049</cdr:y>
    </cdr:from>
    <cdr:to>
      <cdr:x>0.158</cdr:x>
      <cdr:y>0.08925</cdr:y>
    </cdr:to>
    <cdr:sp macro="" textlink="">
      <cdr:nvSpPr>
        <cdr:cNvPr id="2" name="TextBox 1"/>
        <cdr:cNvSpPr txBox="1"/>
      </cdr:nvSpPr>
      <cdr:spPr>
        <a:xfrm>
          <a:off x="104775" y="3048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0.517</cdr:y>
    </cdr:from>
    <cdr:to>
      <cdr:x>0.85925</cdr:x>
      <cdr:y>0.555</cdr:y>
    </cdr:to>
    <cdr:sp macro="" textlink="Data4Graph!$Y$42">
      <cdr:nvSpPr>
        <cdr:cNvPr id="2" name="Rectangle 1"/>
        <cdr:cNvSpPr/>
      </cdr:nvSpPr>
      <cdr:spPr>
        <a:xfrm>
          <a:off x="1952625" y="3248025"/>
          <a:ext cx="5495925"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0.56475</cdr:y>
    </cdr:from>
    <cdr:to>
      <cdr:x>0.85925</cdr:x>
      <cdr:y>0.60275</cdr:y>
    </cdr:to>
    <cdr:sp macro="" textlink="Data4Graph!$Y$43">
      <cdr:nvSpPr>
        <cdr:cNvPr id="3" name="Rectangle 2"/>
        <cdr:cNvSpPr/>
      </cdr:nvSpPr>
      <cdr:spPr>
        <a:xfrm>
          <a:off x="1952625" y="3552825"/>
          <a:ext cx="5495925"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NRU Proposal Tier Augmentation 5 aMW | Max $40.18/MWh | Min $35.58/MWh</a:t>
          </a:fld>
          <a:endParaRPr lang="en-US">
            <a:solidFill>
              <a:schemeClr val="bg1"/>
            </a:solidFill>
          </a:endParaRPr>
        </a:p>
      </cdr:txBody>
    </cdr:sp>
  </cdr:relSizeAnchor>
  <cdr:relSizeAnchor xmlns:cdr="http://schemas.openxmlformats.org/drawingml/2006/chartDrawing">
    <cdr:from>
      <cdr:x>0.226</cdr:x>
      <cdr:y>0.61275</cdr:y>
    </cdr:from>
    <cdr:to>
      <cdr:x>0.85925</cdr:x>
      <cdr:y>0.65075</cdr:y>
    </cdr:to>
    <cdr:sp macro="" textlink="Data4Graph!$Y$44">
      <cdr:nvSpPr>
        <cdr:cNvPr id="4" name="Rectangle 3"/>
        <cdr:cNvSpPr/>
      </cdr:nvSpPr>
      <cdr:spPr>
        <a:xfrm>
          <a:off x="1952625" y="3857625"/>
          <a:ext cx="5495925" cy="238125"/>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FECB78F1-16EA-4DE5-9A69-C23368D4CDD2}" type="TxLink">
            <a:rPr lang="en-US" sz="1000" b="0" i="0" u="none" strike="noStrike">
              <a:solidFill>
                <a:schemeClr val="bg1"/>
              </a:solidFill>
              <a:latin typeface="Arial"/>
              <a:cs typeface="Arial"/>
            </a:rPr>
            <a:pPr algn="ctr"/>
            <a:t>Start BPA Jan24 Tier Augmentation 0 aMW | Max $44.05/MWh | Min $34.79/MWh</a:t>
          </a:fld>
          <a:endParaRPr lang="en-US">
            <a:solidFill>
              <a:schemeClr val="bg1"/>
            </a:solidFill>
          </a:endParaRPr>
        </a:p>
      </cdr:txBody>
    </cdr:sp>
  </cdr:relSizeAnchor>
  <cdr:relSizeAnchor xmlns:cdr="http://schemas.openxmlformats.org/drawingml/2006/chartDrawing">
    <cdr:from>
      <cdr:x>0.226</cdr:x>
      <cdr:y>0.6605</cdr:y>
    </cdr:from>
    <cdr:to>
      <cdr:x>0.85925</cdr:x>
      <cdr:y>0.6985</cdr:y>
    </cdr:to>
    <cdr:sp macro="" textlink="Data4Graph!$Y$45">
      <cdr:nvSpPr>
        <cdr:cNvPr id="5" name="Rectangle 4"/>
        <cdr:cNvSpPr/>
      </cdr:nvSpPr>
      <cdr:spPr>
        <a:xfrm>
          <a:off x="1952625" y="4152900"/>
          <a:ext cx="5495925" cy="238125"/>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1B22A37-C713-4C25-8B8B-135FD7E58B77}" type="TxLink">
            <a:rPr lang="en-US" sz="1000" b="0" i="0" u="none" strike="noStrike">
              <a:solidFill>
                <a:schemeClr val="bg1"/>
              </a:solidFill>
              <a:latin typeface="Arial"/>
              <a:cs typeface="Arial"/>
            </a:rPr>
            <a:pPr algn="ctr"/>
            <a:t>Start Melded Augmentation 90 aMW | Max $35.9/MWh | Min $35.9/MWh</a:t>
          </a:fld>
          <a:endParaRPr lang="en-US">
            <a:solidFill>
              <a:schemeClr val="bg1"/>
            </a:solidFill>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0.01825</cdr:y>
    </cdr:from>
    <cdr:to>
      <cdr:x>0.16175</cdr:x>
      <cdr:y>0.05875</cdr:y>
    </cdr:to>
    <cdr:sp macro="" textlink="">
      <cdr:nvSpPr>
        <cdr:cNvPr id="2" name="TextBox 1"/>
        <cdr:cNvSpPr txBox="1"/>
      </cdr:nvSpPr>
      <cdr:spPr>
        <a:xfrm>
          <a:off x="142875" y="1143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dr:relSizeAnchor xmlns:cdr="http://schemas.openxmlformats.org/drawingml/2006/chartDrawing">
    <cdr:from>
      <cdr:x>0.0855</cdr:x>
      <cdr:y>0.52725</cdr:y>
    </cdr:from>
    <cdr:to>
      <cdr:x>0.52875</cdr:x>
      <cdr:y>0.5635</cdr:y>
    </cdr:to>
    <cdr:sp macro="" textlink="Data4Graph!$Y$16">
      <cdr:nvSpPr>
        <cdr:cNvPr id="3" name="Rectangle 2"/>
        <cdr:cNvSpPr/>
      </cdr:nvSpPr>
      <cdr:spPr>
        <a:xfrm>
          <a:off x="733425" y="3314700"/>
          <a:ext cx="3848100"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lstStyle/>
        <a:p>
          <a:pPr algn="ctr"/>
          <a:fld id="{79F6B07B-418F-4AC4-B2B8-DF55000194C8}" type="TxLink">
            <a:rPr lang="en-US" sz="1000" b="0" i="0" u="none" strike="noStrike">
              <a:solidFill>
                <a:schemeClr val="bg1"/>
              </a:solidFill>
              <a:latin typeface="Arial"/>
              <a:cs typeface="Arial"/>
            </a:rPr>
            <a:pPr algn="ctr"/>
            <a:t>End Rollover Tier 1 Rate $34.91/MWh | Max $52.77/MWh</a:t>
          </a:fld>
          <a:endParaRPr lang="en-US">
            <a:solidFill>
              <a:schemeClr val="bg1"/>
            </a:solidFill>
          </a:endParaRPr>
        </a:p>
      </cdr:txBody>
    </cdr:sp>
  </cdr:relSizeAnchor>
  <cdr:relSizeAnchor xmlns:cdr="http://schemas.openxmlformats.org/drawingml/2006/chartDrawing">
    <cdr:from>
      <cdr:x>0.0855</cdr:x>
      <cdr:y>0.5735</cdr:y>
    </cdr:from>
    <cdr:to>
      <cdr:x>0.52875</cdr:x>
      <cdr:y>0.60975</cdr:y>
    </cdr:to>
    <cdr:sp macro="" textlink="Data4Graph!$Y$17">
      <cdr:nvSpPr>
        <cdr:cNvPr id="4" name="Rectangle 3"/>
        <cdr:cNvSpPr/>
      </cdr:nvSpPr>
      <cdr:spPr>
        <a:xfrm>
          <a:off x="733425" y="3609975"/>
          <a:ext cx="38481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CA9FFFA3-1B47-47ED-A591-28EAF51E7E10}" type="TxLink">
            <a:rPr lang="en-US" sz="1000" b="0" i="0" u="none" strike="noStrike">
              <a:solidFill>
                <a:schemeClr val="bg1"/>
              </a:solidFill>
              <a:latin typeface="Arial"/>
              <a:cs typeface="Arial"/>
            </a:rPr>
            <a:pPr algn="ctr"/>
            <a:t>End NRU Proposal Tier 1 Rate $36.38/MWh | Max $47.1/MWh</a:t>
          </a:fld>
          <a:endParaRPr lang="en-US">
            <a:solidFill>
              <a:schemeClr val="bg1"/>
            </a:solidFill>
          </a:endParaRPr>
        </a:p>
      </cdr:txBody>
    </cdr:sp>
  </cdr:relSizeAnchor>
  <cdr:relSizeAnchor xmlns:cdr="http://schemas.openxmlformats.org/drawingml/2006/chartDrawing">
    <cdr:from>
      <cdr:x>0.0855</cdr:x>
      <cdr:y>0.62075</cdr:y>
    </cdr:from>
    <cdr:to>
      <cdr:x>0.52875</cdr:x>
      <cdr:y>0.657</cdr:y>
    </cdr:to>
    <cdr:sp macro="" textlink="Data4Graph!$Y$18">
      <cdr:nvSpPr>
        <cdr:cNvPr id="5" name="Rectangle 4"/>
        <cdr:cNvSpPr/>
      </cdr:nvSpPr>
      <cdr:spPr>
        <a:xfrm>
          <a:off x="733425" y="3905250"/>
          <a:ext cx="384810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6C718DF6-2F0A-488B-90D9-98989EBBFB7E}" type="TxLink">
            <a:rPr lang="en-US" sz="1000" b="0" i="0" u="none" strike="noStrike">
              <a:solidFill>
                <a:schemeClr val="bg1"/>
              </a:solidFill>
              <a:latin typeface="Arial"/>
              <a:cs typeface="Arial"/>
            </a:rPr>
            <a:pPr algn="ctr"/>
            <a:t>End BPA Jan24 Tier 1 Rate $35.06/MWh | Max $49.53/MWh</a:t>
          </a:fld>
          <a:endParaRPr lang="en-US">
            <a:solidFill>
              <a:schemeClr val="bg1"/>
            </a:solidFill>
          </a:endParaRPr>
        </a:p>
      </cdr:txBody>
    </cdr:sp>
  </cdr:relSizeAnchor>
  <cdr:relSizeAnchor xmlns:cdr="http://schemas.openxmlformats.org/drawingml/2006/chartDrawing">
    <cdr:from>
      <cdr:x>0.0855</cdr:x>
      <cdr:y>0.668</cdr:y>
    </cdr:from>
    <cdr:to>
      <cdr:x>0.52875</cdr:x>
      <cdr:y>0.70425</cdr:y>
    </cdr:to>
    <cdr:sp macro="" textlink="Data4Graph!$Y$19">
      <cdr:nvSpPr>
        <cdr:cNvPr id="6" name="Rectangle 5"/>
        <cdr:cNvSpPr/>
      </cdr:nvSpPr>
      <cdr:spPr>
        <a:xfrm>
          <a:off x="733425" y="4200525"/>
          <a:ext cx="384810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5517ED23-8B76-4044-89BA-7A7D17405BC8}" type="TxLink">
            <a:rPr lang="en-US" sz="1000" b="0" i="0" u="none" strike="noStrike">
              <a:solidFill>
                <a:schemeClr val="bg1"/>
              </a:solidFill>
              <a:latin typeface="Arial"/>
              <a:cs typeface="Arial"/>
            </a:rPr>
            <a:pPr algn="ctr"/>
            <a:t>End Melded 1 Rate $39.3/MWh | Max $39.3/MWh</a:t>
          </a:fld>
          <a:endParaRPr lang="en-US">
            <a:solidFill>
              <a:schemeClr val="bg1"/>
            </a:solidFill>
          </a:endParaRPr>
        </a:p>
      </cdr:txBody>
    </cdr:sp>
  </cdr:relSizeAnchor>
  <cdr:relSizeAnchor xmlns:cdr="http://schemas.openxmlformats.org/drawingml/2006/chartDrawing">
    <cdr:from>
      <cdr:x>0.5535</cdr:x>
      <cdr:y>0.52725</cdr:y>
    </cdr:from>
    <cdr:to>
      <cdr:x>0.912</cdr:x>
      <cdr:y>0.5635</cdr:y>
    </cdr:to>
    <cdr:sp macro="" textlink="Data4Graph!$Y$22">
      <cdr:nvSpPr>
        <cdr:cNvPr id="7" name="Rectangle 6"/>
        <cdr:cNvSpPr/>
      </cdr:nvSpPr>
      <cdr:spPr>
        <a:xfrm>
          <a:off x="4800600" y="3314700"/>
          <a:ext cx="3114675"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17AFB06A-63BA-4875-A91C-3EAE43183E7D}" type="TxLink">
            <a:rPr lang="en-US" sz="1000" b="0" i="0" u="none" strike="noStrike">
              <a:solidFill>
                <a:schemeClr val="bg1"/>
              </a:solidFill>
              <a:latin typeface="Arial"/>
              <a:cs typeface="Arial"/>
            </a:rPr>
            <a:pPr algn="ctr"/>
            <a:t>End Rollover Tier 1 Augmentation 0 aMW</a:t>
          </a:fld>
          <a:endParaRPr lang="en-US">
            <a:solidFill>
              <a:schemeClr val="bg1"/>
            </a:solidFill>
          </a:endParaRPr>
        </a:p>
      </cdr:txBody>
    </cdr:sp>
  </cdr:relSizeAnchor>
  <cdr:relSizeAnchor xmlns:cdr="http://schemas.openxmlformats.org/drawingml/2006/chartDrawing">
    <cdr:from>
      <cdr:x>0.5535</cdr:x>
      <cdr:y>0.5735</cdr:y>
    </cdr:from>
    <cdr:to>
      <cdr:x>0.912</cdr:x>
      <cdr:y>0.60975</cdr:y>
    </cdr:to>
    <cdr:sp macro="" textlink="Data4Graph!$Y$23">
      <cdr:nvSpPr>
        <cdr:cNvPr id="8" name="Rectangle 7"/>
        <cdr:cNvSpPr/>
      </cdr:nvSpPr>
      <cdr:spPr>
        <a:xfrm>
          <a:off x="4800600" y="3609975"/>
          <a:ext cx="311467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F4CE54B-673A-4950-9568-EAE204CAAE5A}" type="TxLink">
            <a:rPr lang="en-US" sz="1000" b="0" i="0" u="none" strike="noStrike">
              <a:solidFill>
                <a:schemeClr val="bg1"/>
              </a:solidFill>
              <a:latin typeface="Arial"/>
              <a:cs typeface="Arial"/>
            </a:rPr>
            <a:pPr algn="ctr"/>
            <a:t>End NRU Proposal Tier 1 Augmentation 218 aMW</a:t>
          </a:fld>
          <a:endParaRPr lang="en-US">
            <a:solidFill>
              <a:schemeClr val="bg1"/>
            </a:solidFill>
          </a:endParaRPr>
        </a:p>
      </cdr:txBody>
    </cdr:sp>
  </cdr:relSizeAnchor>
  <cdr:relSizeAnchor xmlns:cdr="http://schemas.openxmlformats.org/drawingml/2006/chartDrawing">
    <cdr:from>
      <cdr:x>0.5535</cdr:x>
      <cdr:y>0.62075</cdr:y>
    </cdr:from>
    <cdr:to>
      <cdr:x>0.912</cdr:x>
      <cdr:y>0.657</cdr:y>
    </cdr:to>
    <cdr:sp macro="" textlink="Data4Graph!$Y$24">
      <cdr:nvSpPr>
        <cdr:cNvPr id="9" name="Rectangle 8"/>
        <cdr:cNvSpPr/>
      </cdr:nvSpPr>
      <cdr:spPr>
        <a:xfrm>
          <a:off x="4800600" y="3905250"/>
          <a:ext cx="31146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FB82FC0-EE72-4E12-BA6C-B67434BD0C09}" type="TxLink">
            <a:rPr lang="en-US" sz="1000" b="0" i="0" u="none" strike="noStrike">
              <a:solidFill>
                <a:schemeClr val="bg1"/>
              </a:solidFill>
              <a:latin typeface="Arial"/>
              <a:cs typeface="Arial"/>
            </a:rPr>
            <a:pPr algn="ctr"/>
            <a:t>End BPA Jan24 Tier 1 Augmentation 0 aMW</a:t>
          </a:fld>
          <a:endParaRPr lang="en-US">
            <a:solidFill>
              <a:schemeClr val="bg1"/>
            </a:solidFill>
          </a:endParaRPr>
        </a:p>
      </cdr:txBody>
    </cdr:sp>
  </cdr:relSizeAnchor>
  <cdr:relSizeAnchor xmlns:cdr="http://schemas.openxmlformats.org/drawingml/2006/chartDrawing">
    <cdr:from>
      <cdr:x>0.5535</cdr:x>
      <cdr:y>0.668</cdr:y>
    </cdr:from>
    <cdr:to>
      <cdr:x>0.912</cdr:x>
      <cdr:y>0.70425</cdr:y>
    </cdr:to>
    <cdr:sp macro="" textlink="Data4Graph!$Y$25">
      <cdr:nvSpPr>
        <cdr:cNvPr id="10" name="Rectangle 9"/>
        <cdr:cNvSpPr/>
      </cdr:nvSpPr>
      <cdr:spPr>
        <a:xfrm>
          <a:off x="4800600" y="4200525"/>
          <a:ext cx="31146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FF046FD-684E-4129-B404-B6DB1712B744}" type="TxLink">
            <a:rPr lang="en-US" sz="1000" b="0" i="0" u="none" strike="noStrike">
              <a:solidFill>
                <a:schemeClr val="bg1"/>
              </a:solidFill>
              <a:latin typeface="Arial"/>
              <a:cs typeface="Arial"/>
            </a:rPr>
            <a:pPr algn="ctr"/>
            <a:t>End Melded Augmentation 1112 aMW</a:t>
          </a:fld>
          <a:endParaRPr lang="en-US">
            <a:solidFill>
              <a:schemeClr val="bg1"/>
            </a:solidFill>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0.55575</cdr:y>
    </cdr:from>
    <cdr:to>
      <cdr:x>0.85925</cdr:x>
      <cdr:y>0.59375</cdr:y>
    </cdr:to>
    <cdr:sp macro="" textlink="Data4Graph!$Y$42">
      <cdr:nvSpPr>
        <cdr:cNvPr id="2" name="Rectangle 1"/>
        <cdr:cNvSpPr/>
      </cdr:nvSpPr>
      <cdr:spPr>
        <a:xfrm>
          <a:off x="1952625" y="3495675"/>
          <a:ext cx="5495925"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0.605</cdr:y>
    </cdr:from>
    <cdr:to>
      <cdr:x>0.85925</cdr:x>
      <cdr:y>0.643</cdr:y>
    </cdr:to>
    <cdr:sp macro="" textlink="Data4Graph!$Y$43">
      <cdr:nvSpPr>
        <cdr:cNvPr id="3" name="Rectangle 2"/>
        <cdr:cNvSpPr/>
      </cdr:nvSpPr>
      <cdr:spPr>
        <a:xfrm>
          <a:off x="1952625" y="3800475"/>
          <a:ext cx="5495925"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NRU Proposal Tier Augmentation 5 aMW | Max $40.18/MWh | Min $35.58/MWh</a:t>
          </a:fld>
          <a:endParaRPr lang="en-US">
            <a:solidFill>
              <a:schemeClr val="bg1"/>
            </a:solidFill>
          </a:endParaRP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0.08175</cdr:x>
      <cdr:y>0.5745</cdr:y>
    </cdr:from>
    <cdr:to>
      <cdr:x>0.483</cdr:x>
      <cdr:y>0.61075</cdr:y>
    </cdr:to>
    <cdr:sp macro="" textlink="Data4Graph!$Y$18">
      <cdr:nvSpPr>
        <cdr:cNvPr id="4" name="TextBox 3"/>
        <cdr:cNvSpPr txBox="1"/>
      </cdr:nvSpPr>
      <cdr:spPr>
        <a:xfrm>
          <a:off x="704850" y="3609975"/>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900" b="0" i="0" u="none" strike="noStrike">
              <a:solidFill>
                <a:schemeClr val="bg1"/>
              </a:solidFill>
              <a:latin typeface="Arial"/>
              <a:cs typeface="Arial"/>
            </a:rPr>
            <a:pPr algn="ctr"/>
            <a:t>End BPA Jan24 Tier 1 Rate $35.06/MWh | Max $49.53/MWh</a:t>
          </a:fld>
          <a:endParaRPr lang="en-US" sz="900">
            <a:solidFill>
              <a:schemeClr val="bg1"/>
            </a:solidFill>
          </a:endParaRPr>
        </a:p>
      </cdr:txBody>
    </cdr:sp>
  </cdr:relSizeAnchor>
  <cdr:relSizeAnchor xmlns:cdr="http://schemas.openxmlformats.org/drawingml/2006/chartDrawing">
    <cdr:from>
      <cdr:x>0.4885</cdr:x>
      <cdr:y>0.5745</cdr:y>
    </cdr:from>
    <cdr:to>
      <cdr:x>0.91075</cdr:x>
      <cdr:y>0.61075</cdr:y>
    </cdr:to>
    <cdr:sp macro="" textlink="Data4Graph!$Y$17">
      <cdr:nvSpPr>
        <cdr:cNvPr id="6" name="TextBox 5"/>
        <cdr:cNvSpPr txBox="1"/>
      </cdr:nvSpPr>
      <cdr:spPr>
        <a:xfrm>
          <a:off x="4238625" y="3609975"/>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vertOverflow="clip" wrap="square" rtlCol="0"/>
        <a:lstStyle/>
        <a:p>
          <a:pPr algn="ctr"/>
          <a:fld id="{6917B2F5-4596-43F6-97E6-AAF4C5596D1E}" type="TxLink">
            <a:rPr lang="en-US" sz="900" b="0" i="0" u="none" strike="noStrike">
              <a:solidFill>
                <a:schemeClr val="bg1"/>
              </a:solidFill>
              <a:latin typeface="Arial"/>
              <a:cs typeface="Arial"/>
            </a:rPr>
            <a:pPr algn="ctr"/>
            <a:t>End NRU Proposal Tier 1 Rate $36.38/MWh | Max $47.1/MWh</a:t>
          </a:fld>
          <a:endParaRPr lang="en-US" sz="900">
            <a:solidFill>
              <a:schemeClr val="bg1"/>
            </a:solidFill>
          </a:endParaRPr>
        </a:p>
      </cdr:txBody>
    </cdr:sp>
  </cdr:relSizeAnchor>
  <cdr:relSizeAnchor xmlns:cdr="http://schemas.openxmlformats.org/drawingml/2006/chartDrawing">
    <cdr:from>
      <cdr:x>0.4885</cdr:x>
      <cdr:y>0.62175</cdr:y>
    </cdr:from>
    <cdr:to>
      <cdr:x>0.91075</cdr:x>
      <cdr:y>0.658</cdr:y>
    </cdr:to>
    <cdr:sp macro="" textlink="Data4Graph!$Y$23">
      <cdr:nvSpPr>
        <cdr:cNvPr id="8" name="TextBox 1"/>
        <cdr:cNvSpPr txBox="1"/>
      </cdr:nvSpPr>
      <cdr:spPr>
        <a:xfrm>
          <a:off x="4238625" y="3905250"/>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C469B8F-C346-44A9-9F4C-3584E2479BBC}" type="TxLink">
            <a:rPr lang="en-US" sz="900" b="0" i="0" u="none" strike="noStrike">
              <a:solidFill>
                <a:schemeClr val="bg1"/>
              </a:solidFill>
              <a:latin typeface="Arial"/>
              <a:cs typeface="Arial"/>
            </a:rPr>
            <a:pPr algn="ctr"/>
            <a:t>End NRU Proposal Tier 1 Augmentation 218 aMW</a:t>
          </a:fld>
          <a:endParaRPr lang="en-US" sz="900">
            <a:solidFill>
              <a:schemeClr val="bg1"/>
            </a:solidFill>
          </a:endParaRPr>
        </a:p>
      </cdr:txBody>
    </cdr:sp>
  </cdr:relSizeAnchor>
  <cdr:relSizeAnchor xmlns:cdr="http://schemas.openxmlformats.org/drawingml/2006/chartDrawing">
    <cdr:from>
      <cdr:x>0.08175</cdr:x>
      <cdr:y>0.62175</cdr:y>
    </cdr:from>
    <cdr:to>
      <cdr:x>0.483</cdr:x>
      <cdr:y>0.658</cdr:y>
    </cdr:to>
    <cdr:sp macro="" textlink="Data4Graph!$Y$24">
      <cdr:nvSpPr>
        <cdr:cNvPr id="9" name="TextBox 1"/>
        <cdr:cNvSpPr txBox="1"/>
      </cdr:nvSpPr>
      <cdr:spPr>
        <a:xfrm>
          <a:off x="704850" y="3905250"/>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900" b="0" i="0" u="none" strike="noStrike">
              <a:solidFill>
                <a:schemeClr val="bg1"/>
              </a:solidFill>
              <a:latin typeface="Arial"/>
              <a:cs typeface="Arial"/>
            </a:rPr>
            <a:pPr algn="ctr"/>
            <a:t>End BPA Jan24 Tier 1 Augmentation 0 aMW</a:t>
          </a:fld>
          <a:endParaRPr lang="en-US" sz="900">
            <a:solidFill>
              <a:schemeClr val="bg1"/>
            </a:solidFill>
          </a:endParaRPr>
        </a:p>
      </cdr:txBody>
    </cdr:sp>
  </cdr:relSizeAnchor>
  <cdr:relSizeAnchor xmlns:cdr="http://schemas.openxmlformats.org/drawingml/2006/chartDrawing">
    <cdr:from>
      <cdr:x>0.08175</cdr:x>
      <cdr:y>0.669</cdr:y>
    </cdr:from>
    <cdr:to>
      <cdr:x>0.483</cdr:x>
      <cdr:y>0.7055</cdr:y>
    </cdr:to>
    <cdr:sp macro="" textlink="Data4Graph!$Y$30">
      <cdr:nvSpPr>
        <cdr:cNvPr id="10" name="TextBox 1"/>
        <cdr:cNvSpPr txBox="1"/>
      </cdr:nvSpPr>
      <cdr:spPr>
        <a:xfrm>
          <a:off x="704850" y="4210050"/>
          <a:ext cx="3486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900" b="0" i="0" u="none" strike="noStrike">
              <a:solidFill>
                <a:schemeClr val="bg1"/>
              </a:solidFill>
              <a:latin typeface="Arial"/>
              <a:cs typeface="Arial"/>
            </a:rPr>
            <a:pPr algn="ctr"/>
            <a:t>End BPA Jan24 Tier Above-RHWM Augmentation 1237 aMW</a:t>
          </a:fld>
          <a:endParaRPr lang="en-US" sz="900">
            <a:solidFill>
              <a:schemeClr val="bg1"/>
            </a:solidFill>
          </a:endParaRPr>
        </a:p>
      </cdr:txBody>
    </cdr:sp>
  </cdr:relSizeAnchor>
  <cdr:relSizeAnchor xmlns:cdr="http://schemas.openxmlformats.org/drawingml/2006/chartDrawing">
    <cdr:from>
      <cdr:x>0.4885</cdr:x>
      <cdr:y>0.669</cdr:y>
    </cdr:from>
    <cdr:to>
      <cdr:x>0.91075</cdr:x>
      <cdr:y>0.70525</cdr:y>
    </cdr:to>
    <cdr:sp macro="" textlink="Data4Graph!$Y$29">
      <cdr:nvSpPr>
        <cdr:cNvPr id="11" name="TextBox 1"/>
        <cdr:cNvSpPr txBox="1"/>
      </cdr:nvSpPr>
      <cdr:spPr>
        <a:xfrm>
          <a:off x="4238625" y="4210050"/>
          <a:ext cx="366712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EDD2A35B-D09C-4647-A431-496ACB62F336}" type="TxLink">
            <a:rPr lang="en-US" sz="900" b="0" i="0" u="none" strike="noStrike">
              <a:solidFill>
                <a:schemeClr val="bg1"/>
              </a:solidFill>
              <a:latin typeface="Arial"/>
              <a:cs typeface="Arial"/>
            </a:rPr>
            <a:pPr algn="ctr"/>
            <a:t>End NRU Proposal Tier Above-RHWM Augmentation 894 aMW</a:t>
          </a:fld>
          <a:endParaRPr lang="en-US" sz="900">
            <a:solidFill>
              <a:schemeClr val="bg1"/>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topLeftCell="A1">
      <selection activeCell="C24" sqref="C24"/>
    </sheetView>
  </sheetViews>
  <sheetFormatPr defaultColWidth="9.140625" defaultRowHeight="12.75"/>
  <cols>
    <col min="1" max="1" width="9.140625" style="137" customWidth="1"/>
    <col min="2" max="2" width="50.140625" style="137" customWidth="1"/>
    <col min="3" max="3" width="124.421875" style="137" customWidth="1"/>
    <col min="4" max="16384" width="9.140625" style="137" customWidth="1"/>
  </cols>
  <sheetData>
    <row r="1" spans="2:5" ht="105" customHeight="1">
      <c r="B1" s="141" t="s">
        <v>260</v>
      </c>
      <c r="C1" s="142"/>
      <c r="D1" s="142"/>
      <c r="E1" s="142"/>
    </row>
    <row r="2" spans="2:5" ht="15">
      <c r="B2" s="143" t="s">
        <v>256</v>
      </c>
      <c r="C2" s="144" t="s">
        <v>257</v>
      </c>
      <c r="D2" s="142"/>
      <c r="E2" s="142"/>
    </row>
    <row r="3" spans="2:5" ht="15">
      <c r="B3" s="143" t="s">
        <v>258</v>
      </c>
      <c r="C3" s="145">
        <v>44896</v>
      </c>
      <c r="D3" s="142"/>
      <c r="E3" s="142"/>
    </row>
    <row r="4" spans="2:5" ht="14.25">
      <c r="B4" s="144"/>
      <c r="C4" s="142"/>
      <c r="D4" s="142"/>
      <c r="E4" s="142"/>
    </row>
    <row r="5" spans="2:5" ht="16.5" thickBot="1">
      <c r="B5" s="146" t="s">
        <v>259</v>
      </c>
      <c r="C5" s="142"/>
      <c r="D5" s="142"/>
      <c r="E5" s="142"/>
    </row>
    <row r="6" spans="2:17" ht="15.75" customHeight="1">
      <c r="B6" s="195" t="s">
        <v>265</v>
      </c>
      <c r="C6" s="196"/>
      <c r="D6" s="197"/>
      <c r="E6" s="149"/>
      <c r="F6" s="149"/>
      <c r="G6" s="149"/>
      <c r="H6" s="149"/>
      <c r="I6" s="149"/>
      <c r="J6" s="149"/>
      <c r="K6" s="149"/>
      <c r="L6" s="149"/>
      <c r="M6" s="149"/>
      <c r="N6" s="149"/>
      <c r="O6" s="149"/>
      <c r="P6" s="149"/>
      <c r="Q6" s="149"/>
    </row>
    <row r="7" spans="2:17" ht="12.75" customHeight="1">
      <c r="B7" s="198"/>
      <c r="C7" s="199"/>
      <c r="D7" s="200"/>
      <c r="E7" s="149"/>
      <c r="F7" s="149"/>
      <c r="G7" s="149"/>
      <c r="H7" s="149"/>
      <c r="I7" s="149"/>
      <c r="J7" s="149"/>
      <c r="K7" s="149"/>
      <c r="L7" s="149"/>
      <c r="M7" s="149"/>
      <c r="N7" s="149"/>
      <c r="O7" s="149"/>
      <c r="P7" s="149"/>
      <c r="Q7" s="149"/>
    </row>
    <row r="8" spans="2:17" ht="12.75" customHeight="1">
      <c r="B8" s="198"/>
      <c r="C8" s="199"/>
      <c r="D8" s="200"/>
      <c r="E8" s="149"/>
      <c r="F8" s="149"/>
      <c r="G8" s="149"/>
      <c r="H8" s="149"/>
      <c r="I8" s="149"/>
      <c r="J8" s="149"/>
      <c r="K8" s="149"/>
      <c r="L8" s="149"/>
      <c r="M8" s="149"/>
      <c r="N8" s="149"/>
      <c r="O8" s="149"/>
      <c r="P8" s="149"/>
      <c r="Q8" s="149"/>
    </row>
    <row r="9" spans="2:17" ht="12.75" customHeight="1">
      <c r="B9" s="198"/>
      <c r="C9" s="199"/>
      <c r="D9" s="200"/>
      <c r="E9" s="149"/>
      <c r="F9" s="149"/>
      <c r="G9" s="149"/>
      <c r="H9" s="149"/>
      <c r="I9" s="149"/>
      <c r="J9" s="149"/>
      <c r="K9" s="149"/>
      <c r="L9" s="149"/>
      <c r="M9" s="149"/>
      <c r="N9" s="149"/>
      <c r="O9" s="149"/>
      <c r="P9" s="149"/>
      <c r="Q9" s="149"/>
    </row>
    <row r="10" spans="2:17" ht="12.75" customHeight="1">
      <c r="B10" s="198"/>
      <c r="C10" s="199"/>
      <c r="D10" s="200"/>
      <c r="E10" s="149"/>
      <c r="F10" s="149"/>
      <c r="G10" s="149"/>
      <c r="H10" s="149"/>
      <c r="I10" s="149"/>
      <c r="J10" s="149"/>
      <c r="K10" s="149"/>
      <c r="L10" s="149"/>
      <c r="M10" s="149"/>
      <c r="N10" s="149"/>
      <c r="O10" s="149"/>
      <c r="P10" s="149"/>
      <c r="Q10" s="149"/>
    </row>
    <row r="11" spans="2:17" ht="12.75" customHeight="1">
      <c r="B11" s="198"/>
      <c r="C11" s="199"/>
      <c r="D11" s="200"/>
      <c r="E11" s="149"/>
      <c r="F11" s="149"/>
      <c r="G11" s="149"/>
      <c r="H11" s="149"/>
      <c r="I11" s="149"/>
      <c r="J11" s="149"/>
      <c r="K11" s="149"/>
      <c r="L11" s="149"/>
      <c r="M11" s="149"/>
      <c r="N11" s="149"/>
      <c r="O11" s="149"/>
      <c r="P11" s="149"/>
      <c r="Q11" s="149"/>
    </row>
    <row r="12" spans="2:17" ht="12.75" customHeight="1">
      <c r="B12" s="198"/>
      <c r="C12" s="199"/>
      <c r="D12" s="200"/>
      <c r="E12" s="149"/>
      <c r="F12" s="149"/>
      <c r="G12" s="149"/>
      <c r="H12" s="149"/>
      <c r="I12" s="149"/>
      <c r="J12" s="149"/>
      <c r="K12" s="149"/>
      <c r="L12" s="149"/>
      <c r="M12" s="149"/>
      <c r="N12" s="149"/>
      <c r="O12" s="149"/>
      <c r="P12" s="149"/>
      <c r="Q12" s="149"/>
    </row>
    <row r="13" spans="2:4" ht="13.5" thickBot="1">
      <c r="B13" s="201"/>
      <c r="C13" s="202"/>
      <c r="D13" s="203"/>
    </row>
    <row r="15" spans="2:4" ht="16.5" thickBot="1">
      <c r="B15" s="140" t="s">
        <v>261</v>
      </c>
      <c r="C15" s="147"/>
      <c r="D15" s="147"/>
    </row>
    <row r="16" spans="2:4" ht="16.5" thickBot="1">
      <c r="B16" s="148" t="s">
        <v>262</v>
      </c>
      <c r="C16" s="204" t="s">
        <v>263</v>
      </c>
      <c r="D16" s="205"/>
    </row>
    <row r="17" spans="2:4" ht="15">
      <c r="B17" s="150" t="s">
        <v>264</v>
      </c>
      <c r="C17" s="206" t="s">
        <v>266</v>
      </c>
      <c r="D17" s="207"/>
    </row>
    <row r="18" spans="2:4" ht="15">
      <c r="B18" s="151" t="s">
        <v>156</v>
      </c>
      <c r="C18" s="191" t="s">
        <v>268</v>
      </c>
      <c r="D18" s="192"/>
    </row>
    <row r="19" spans="2:4" ht="15">
      <c r="B19" s="151" t="s">
        <v>190</v>
      </c>
      <c r="C19" s="208" t="s">
        <v>267</v>
      </c>
      <c r="D19" s="209"/>
    </row>
    <row r="20" spans="2:4" ht="112.5" customHeight="1">
      <c r="B20" s="151" t="s">
        <v>269</v>
      </c>
      <c r="C20" s="191" t="s">
        <v>271</v>
      </c>
      <c r="D20" s="192"/>
    </row>
    <row r="21" spans="2:4" ht="15.75" thickBot="1">
      <c r="B21" s="152" t="s">
        <v>270</v>
      </c>
      <c r="C21" s="193" t="s">
        <v>272</v>
      </c>
      <c r="D21" s="194"/>
    </row>
  </sheetData>
  <mergeCells count="7">
    <mergeCell ref="C20:D20"/>
    <mergeCell ref="C21:D21"/>
    <mergeCell ref="B6:D13"/>
    <mergeCell ref="C16:D16"/>
    <mergeCell ref="C17:D17"/>
    <mergeCell ref="C18:D18"/>
    <mergeCell ref="C19:D19"/>
  </mergeCells>
  <hyperlinks>
    <hyperlink ref="C2" r:id="rId1" display="mailto:post2028@bpa.gov"/>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workbookViewId="0" topLeftCell="B1">
      <selection activeCell="G15" sqref="G15"/>
    </sheetView>
  </sheetViews>
  <sheetFormatPr defaultColWidth="9.140625" defaultRowHeight="12.75"/>
  <cols>
    <col min="1" max="1" width="9.140625" style="0" hidden="1" customWidth="1"/>
    <col min="3" max="3" width="30.140625" style="0" bestFit="1" customWidth="1"/>
    <col min="4" max="5" width="15.00390625" style="0" bestFit="1" customWidth="1"/>
    <col min="7" max="7" width="18.28125" style="0" bestFit="1" customWidth="1"/>
    <col min="8" max="8" width="13.57421875" style="0" customWidth="1"/>
  </cols>
  <sheetData>
    <row r="1" s="37" customFormat="1" ht="15.75">
      <c r="B1" s="36" t="s">
        <v>164</v>
      </c>
    </row>
    <row r="2" s="37" customFormat="1" ht="12.75"/>
    <row r="3" s="37" customFormat="1" ht="12.75"/>
    <row r="4" s="37" customFormat="1" ht="12.75">
      <c r="G4" s="46"/>
    </row>
    <row r="5" spans="2:9" s="37" customFormat="1" ht="25.5">
      <c r="B5" s="38" t="s">
        <v>12</v>
      </c>
      <c r="C5" s="38" t="s">
        <v>154</v>
      </c>
      <c r="D5" s="38" t="s">
        <v>161</v>
      </c>
      <c r="E5" s="38" t="s">
        <v>165</v>
      </c>
      <c r="F5" s="38" t="s">
        <v>166</v>
      </c>
      <c r="G5" s="38" t="s">
        <v>167</v>
      </c>
      <c r="H5" s="38" t="s">
        <v>168</v>
      </c>
      <c r="I5" s="38" t="s">
        <v>169</v>
      </c>
    </row>
    <row r="6" spans="2:10" ht="12.75">
      <c r="B6" s="33">
        <v>10426</v>
      </c>
      <c r="C6" s="33" t="s">
        <v>135</v>
      </c>
      <c r="D6" s="34">
        <v>20.288</v>
      </c>
      <c r="E6" s="34">
        <v>15.307</v>
      </c>
      <c r="F6" s="33">
        <v>37.084</v>
      </c>
      <c r="G6" s="34">
        <v>1.4890000000000043</v>
      </c>
      <c r="H6" s="34">
        <v>16.796000000000006</v>
      </c>
      <c r="I6" s="34">
        <v>37.084</v>
      </c>
      <c r="J6" s="41"/>
    </row>
    <row r="7" spans="2:10" ht="12.75">
      <c r="B7" s="33">
        <v>10482</v>
      </c>
      <c r="C7" s="33" t="s">
        <v>143</v>
      </c>
      <c r="D7" s="34">
        <v>2.8</v>
      </c>
      <c r="E7" s="34">
        <v>1.375</v>
      </c>
      <c r="F7" s="33">
        <v>2.809</v>
      </c>
      <c r="G7" s="34">
        <v>0</v>
      </c>
      <c r="H7" s="34">
        <v>1.375</v>
      </c>
      <c r="I7" s="34">
        <v>4.175</v>
      </c>
      <c r="J7" s="41"/>
    </row>
    <row r="8" spans="2:10" ht="12.75">
      <c r="B8" s="33">
        <v>10502</v>
      </c>
      <c r="C8" s="33" t="s">
        <v>144</v>
      </c>
      <c r="D8" s="34">
        <v>13.496</v>
      </c>
      <c r="E8" s="34">
        <v>5.49</v>
      </c>
      <c r="F8" s="33">
        <v>18.718</v>
      </c>
      <c r="G8" s="34">
        <v>0</v>
      </c>
      <c r="H8" s="34">
        <v>5.49</v>
      </c>
      <c r="I8" s="34">
        <v>18.986</v>
      </c>
      <c r="J8" s="41"/>
    </row>
    <row r="9" spans="2:10" ht="12.75">
      <c r="B9" s="33">
        <v>13927</v>
      </c>
      <c r="C9" s="33" t="s">
        <v>160</v>
      </c>
      <c r="D9" s="34">
        <v>2.894</v>
      </c>
      <c r="E9" s="34">
        <v>1.24</v>
      </c>
      <c r="F9" s="33">
        <v>4.068</v>
      </c>
      <c r="G9" s="34">
        <v>0</v>
      </c>
      <c r="H9" s="34">
        <v>1.24</v>
      </c>
      <c r="I9" s="34">
        <v>4.134</v>
      </c>
      <c r="J9" s="41"/>
    </row>
    <row r="10" spans="2:10" ht="12.75">
      <c r="B10" s="39">
        <v>12026</v>
      </c>
      <c r="C10" s="39" t="s">
        <v>148</v>
      </c>
      <c r="D10" s="35">
        <v>0</v>
      </c>
      <c r="E10" s="39">
        <v>45.847</v>
      </c>
      <c r="F10" s="39"/>
      <c r="G10" s="35"/>
      <c r="H10" s="35">
        <v>45.847</v>
      </c>
      <c r="I10" s="35">
        <v>45.847</v>
      </c>
      <c r="J10" s="41"/>
    </row>
    <row r="11" spans="2:10" ht="12.75">
      <c r="B11" s="33"/>
      <c r="C11" s="33"/>
      <c r="D11" s="33"/>
      <c r="E11" s="33"/>
      <c r="F11" s="33"/>
      <c r="G11" s="33"/>
      <c r="H11" s="33"/>
      <c r="I11" s="33"/>
      <c r="J11" s="41"/>
    </row>
    <row r="12" spans="2:9" ht="12.75">
      <c r="B12" s="33"/>
      <c r="C12" s="33" t="s">
        <v>155</v>
      </c>
      <c r="D12" s="34">
        <v>6992.617</v>
      </c>
      <c r="F12" s="33"/>
      <c r="G12" s="33"/>
      <c r="H12" s="33"/>
      <c r="I12" s="33"/>
    </row>
    <row r="13" spans="2:9" ht="12.75">
      <c r="B13" s="33"/>
      <c r="C13" s="33" t="s">
        <v>154</v>
      </c>
      <c r="D13" s="35">
        <f>SUM(H6:H10)</f>
        <v>70.748</v>
      </c>
      <c r="E13" s="34"/>
      <c r="F13" s="33"/>
      <c r="G13" s="33"/>
      <c r="H13" s="33"/>
      <c r="I13" s="33"/>
    </row>
    <row r="14" spans="2:9" ht="12.75">
      <c r="B14" s="33"/>
      <c r="C14" s="33" t="s">
        <v>156</v>
      </c>
      <c r="D14" s="40">
        <f>D12+D13</f>
        <v>7063.365</v>
      </c>
      <c r="E14" s="33"/>
      <c r="F14" s="33"/>
      <c r="G14" s="33"/>
      <c r="H14" s="33"/>
      <c r="I14" s="33"/>
    </row>
    <row r="15" ht="12.75">
      <c r="I15" s="47"/>
    </row>
    <row r="16" spans="2:4" ht="12.75">
      <c r="B16" s="33"/>
      <c r="D16" s="42"/>
    </row>
    <row r="17" spans="3:5" ht="12.75">
      <c r="C17" s="13"/>
      <c r="D17" s="13"/>
      <c r="E17" s="13"/>
    </row>
    <row r="18" spans="3:5" ht="12.75">
      <c r="C18" s="43" t="s">
        <v>157</v>
      </c>
      <c r="D18" s="43" t="s">
        <v>158</v>
      </c>
      <c r="E18" s="43" t="s">
        <v>159</v>
      </c>
    </row>
    <row r="19" spans="3:5" ht="12.75">
      <c r="C19" s="45">
        <v>45200</v>
      </c>
      <c r="D19" s="44">
        <v>2552444.0360000003</v>
      </c>
      <c r="E19" s="44">
        <v>1666359.7255</v>
      </c>
    </row>
    <row r="20" spans="3:5" ht="12.75">
      <c r="C20" s="45">
        <v>45231</v>
      </c>
      <c r="D20" s="44">
        <v>3264487.328</v>
      </c>
      <c r="E20" s="44">
        <v>2115878.631</v>
      </c>
    </row>
    <row r="21" spans="3:5" ht="12.75">
      <c r="C21" s="45">
        <v>45261</v>
      </c>
      <c r="D21" s="44">
        <v>3520485.739</v>
      </c>
      <c r="E21" s="44">
        <v>2285993.696</v>
      </c>
    </row>
    <row r="22" spans="3:5" ht="12.75">
      <c r="C22" s="45">
        <v>45292</v>
      </c>
      <c r="D22" s="44">
        <v>3735691.715</v>
      </c>
      <c r="E22" s="44">
        <v>2298138.029</v>
      </c>
    </row>
    <row r="23" spans="3:5" ht="12.75">
      <c r="C23" s="45">
        <v>45323</v>
      </c>
      <c r="D23" s="44">
        <v>3299995.8789999997</v>
      </c>
      <c r="E23" s="44">
        <v>1889901.959</v>
      </c>
    </row>
    <row r="24" spans="3:5" ht="12.75">
      <c r="C24" s="45">
        <v>45352</v>
      </c>
      <c r="D24" s="44">
        <v>3449919.113</v>
      </c>
      <c r="E24" s="44">
        <v>2216421.778</v>
      </c>
    </row>
    <row r="25" spans="3:5" ht="12.75">
      <c r="C25" s="45">
        <v>45383</v>
      </c>
      <c r="D25" s="44">
        <v>2722407.7775</v>
      </c>
      <c r="E25" s="44">
        <v>1750213.4617499998</v>
      </c>
    </row>
    <row r="26" spans="3:5" ht="12.75">
      <c r="C26" s="45">
        <v>45413</v>
      </c>
      <c r="D26" s="44">
        <v>3371816.848</v>
      </c>
      <c r="E26" s="44">
        <v>2177069.1585</v>
      </c>
    </row>
    <row r="27" spans="3:5" ht="12.75">
      <c r="C27" s="45">
        <v>45444</v>
      </c>
      <c r="D27" s="44">
        <v>3560007.926</v>
      </c>
      <c r="E27" s="44">
        <v>2109275.0545</v>
      </c>
    </row>
    <row r="28" spans="3:5" ht="12.75">
      <c r="C28" s="45">
        <v>45474</v>
      </c>
      <c r="D28" s="44">
        <v>3067031.764</v>
      </c>
      <c r="E28" s="44">
        <v>1854722.6275</v>
      </c>
    </row>
    <row r="29" spans="3:5" ht="12.75">
      <c r="C29" s="45">
        <v>45505</v>
      </c>
      <c r="D29" s="44">
        <v>3018290.1715</v>
      </c>
      <c r="E29" s="44">
        <v>1739738.0798499999</v>
      </c>
    </row>
    <row r="30" spans="3:5" ht="12.75">
      <c r="C30" s="45">
        <v>45536</v>
      </c>
      <c r="D30" s="44">
        <v>2614938.274</v>
      </c>
      <c r="E30" s="44">
        <v>1763369.104</v>
      </c>
    </row>
    <row r="31" spans="3:5" ht="12.75">
      <c r="C31" s="45">
        <v>45566</v>
      </c>
      <c r="D31" s="44">
        <v>2552444.0360000003</v>
      </c>
      <c r="E31" s="44">
        <v>1666359.7255</v>
      </c>
    </row>
    <row r="32" spans="3:5" ht="12.75">
      <c r="C32" s="45">
        <v>45597</v>
      </c>
      <c r="D32" s="44">
        <v>3264487.328</v>
      </c>
      <c r="E32" s="44">
        <v>2115878.631</v>
      </c>
    </row>
    <row r="33" spans="3:5" ht="12.75">
      <c r="C33" s="45">
        <v>45627</v>
      </c>
      <c r="D33" s="44">
        <v>3520485.739</v>
      </c>
      <c r="E33" s="44">
        <v>2285993.696</v>
      </c>
    </row>
    <row r="34" spans="3:5" ht="12.75">
      <c r="C34" s="45">
        <v>45658</v>
      </c>
      <c r="D34" s="44">
        <v>3735691.715</v>
      </c>
      <c r="E34" s="44">
        <v>2298138.029</v>
      </c>
    </row>
    <row r="35" spans="3:5" ht="12.75">
      <c r="C35" s="45">
        <v>45689</v>
      </c>
      <c r="D35" s="44">
        <v>3186982.039</v>
      </c>
      <c r="E35" s="44">
        <v>1833395.039</v>
      </c>
    </row>
    <row r="36" spans="3:5" ht="12.75">
      <c r="C36" s="45">
        <v>45717</v>
      </c>
      <c r="D36" s="44">
        <v>3449919.113</v>
      </c>
      <c r="E36" s="44">
        <v>2216421.778</v>
      </c>
    </row>
    <row r="37" spans="3:5" ht="12.75">
      <c r="C37" s="45">
        <v>45748</v>
      </c>
      <c r="D37" s="44">
        <v>2722407.7775</v>
      </c>
      <c r="E37" s="44">
        <v>1750213.4617499998</v>
      </c>
    </row>
    <row r="38" spans="3:5" ht="12.75">
      <c r="C38" s="45">
        <v>45778</v>
      </c>
      <c r="D38" s="44">
        <v>3371816.848</v>
      </c>
      <c r="E38" s="44">
        <v>2177069.1585</v>
      </c>
    </row>
    <row r="39" spans="3:5" ht="12.75">
      <c r="C39" s="45">
        <v>45809</v>
      </c>
      <c r="D39" s="44">
        <v>3560007.926</v>
      </c>
      <c r="E39" s="44">
        <v>2109275.0545</v>
      </c>
    </row>
    <row r="40" spans="3:5" ht="12.75">
      <c r="C40" s="45">
        <v>45839</v>
      </c>
      <c r="D40" s="44">
        <v>3067031.764</v>
      </c>
      <c r="E40" s="44">
        <v>1854722.6275</v>
      </c>
    </row>
    <row r="41" spans="3:5" ht="12.75">
      <c r="C41" s="45">
        <v>45870</v>
      </c>
      <c r="D41" s="44">
        <v>3018290.1715</v>
      </c>
      <c r="E41" s="44">
        <v>1739738.0798499999</v>
      </c>
    </row>
    <row r="42" spans="3:5" ht="12.75">
      <c r="C42" s="45">
        <v>45901</v>
      </c>
      <c r="D42" s="44">
        <v>2614938.274</v>
      </c>
      <c r="E42" s="44">
        <v>1763369.104</v>
      </c>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U20" sqref="U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16384" width="9.140625" style="13" customWidth="1"/>
  </cols>
  <sheetData>
    <row r="1" spans="2:21" s="1" customFormat="1" ht="15.75">
      <c r="B1" s="2" t="s">
        <v>170</v>
      </c>
      <c r="C1" s="3"/>
      <c r="D1" s="4"/>
      <c r="E1" s="4"/>
      <c r="F1" s="4"/>
      <c r="G1" s="4"/>
      <c r="H1" s="4"/>
      <c r="I1" s="4"/>
      <c r="J1" s="4"/>
      <c r="K1" s="4"/>
      <c r="L1" s="4"/>
      <c r="M1" s="5"/>
      <c r="N1" s="5"/>
      <c r="O1" s="6"/>
      <c r="Q1" s="37"/>
      <c r="R1" s="37"/>
      <c r="S1" s="37"/>
      <c r="T1" s="37"/>
      <c r="U1" s="37"/>
    </row>
    <row r="2" spans="1:21" s="1"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Q2" s="37"/>
      <c r="R2" s="37"/>
      <c r="S2" s="37"/>
      <c r="T2" s="37"/>
      <c r="U2" s="37"/>
    </row>
    <row r="3" spans="1:21" s="1"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Q3" s="37"/>
      <c r="R3" s="37"/>
      <c r="S3" s="37"/>
      <c r="T3" s="37"/>
      <c r="U3" s="37"/>
    </row>
    <row r="4" spans="2:28" ht="12.75">
      <c r="B4" s="14">
        <v>10005</v>
      </c>
      <c r="C4" s="15" t="s">
        <v>16</v>
      </c>
      <c r="D4" s="16">
        <v>1</v>
      </c>
      <c r="E4" s="16">
        <v>0</v>
      </c>
      <c r="F4" s="17">
        <v>0.556</v>
      </c>
      <c r="G4" s="17">
        <v>0.68</v>
      </c>
      <c r="H4" s="17">
        <v>0.689</v>
      </c>
      <c r="I4" s="17">
        <v>0</v>
      </c>
      <c r="J4" s="17">
        <v>0</v>
      </c>
      <c r="K4" s="17">
        <v>0</v>
      </c>
      <c r="L4" s="17">
        <v>0</v>
      </c>
      <c r="M4" s="17">
        <v>0.68</v>
      </c>
      <c r="N4" s="17">
        <v>0.689</v>
      </c>
      <c r="O4" s="17">
        <v>0.548</v>
      </c>
      <c r="P4" s="23"/>
      <c r="Q4" s="51"/>
      <c r="R4" s="50"/>
      <c r="S4" s="50"/>
      <c r="T4" s="50"/>
      <c r="U4" s="50"/>
      <c r="V4" s="50"/>
      <c r="W4" s="50"/>
      <c r="X4" s="50"/>
      <c r="Y4" s="50"/>
      <c r="Z4" s="50"/>
      <c r="AA4" s="50"/>
      <c r="AB4" s="50"/>
    </row>
    <row r="5" spans="2:28" ht="12.75">
      <c r="B5" s="14">
        <v>10015</v>
      </c>
      <c r="C5" s="15" t="s">
        <v>17</v>
      </c>
      <c r="D5" s="16">
        <v>1</v>
      </c>
      <c r="E5" s="16">
        <v>0</v>
      </c>
      <c r="F5" s="17">
        <v>0.582</v>
      </c>
      <c r="G5" s="17">
        <v>0.582</v>
      </c>
      <c r="H5" s="17">
        <v>0.583</v>
      </c>
      <c r="I5" s="17">
        <v>0</v>
      </c>
      <c r="J5" s="17">
        <v>0</v>
      </c>
      <c r="K5" s="17">
        <v>0</v>
      </c>
      <c r="L5" s="17">
        <v>0</v>
      </c>
      <c r="M5" s="17">
        <v>0.582</v>
      </c>
      <c r="N5" s="17">
        <v>0.583</v>
      </c>
      <c r="O5" s="17">
        <v>0.573</v>
      </c>
      <c r="P5" s="23"/>
      <c r="Q5" s="51"/>
      <c r="R5" s="50"/>
      <c r="S5" s="50"/>
      <c r="T5" s="50"/>
      <c r="U5" s="50"/>
      <c r="V5" s="50"/>
      <c r="W5" s="50"/>
      <c r="X5" s="50"/>
      <c r="Y5" s="50"/>
      <c r="Z5" s="50"/>
      <c r="AA5" s="50"/>
      <c r="AB5" s="50"/>
    </row>
    <row r="6" spans="2:28"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23"/>
      <c r="Q6" s="51"/>
      <c r="R6" s="50"/>
      <c r="S6" s="50"/>
      <c r="T6" s="50"/>
      <c r="U6" s="50"/>
      <c r="V6" s="50"/>
      <c r="W6" s="50"/>
      <c r="X6" s="50"/>
      <c r="Y6" s="50"/>
      <c r="Z6" s="50"/>
      <c r="AA6" s="50"/>
      <c r="AB6" s="50"/>
    </row>
    <row r="7" spans="2:28" ht="12.75">
      <c r="B7" s="14">
        <v>10025</v>
      </c>
      <c r="C7" s="15" t="s">
        <v>19</v>
      </c>
      <c r="D7" s="16">
        <v>1</v>
      </c>
      <c r="E7" s="16">
        <v>0</v>
      </c>
      <c r="F7" s="17">
        <v>60.549</v>
      </c>
      <c r="G7" s="17">
        <v>64.824</v>
      </c>
      <c r="H7" s="17">
        <v>65.037</v>
      </c>
      <c r="I7" s="17">
        <v>0</v>
      </c>
      <c r="J7" s="17">
        <v>0</v>
      </c>
      <c r="K7" s="17">
        <v>0</v>
      </c>
      <c r="L7" s="17">
        <v>0</v>
      </c>
      <c r="M7" s="17">
        <v>64.824</v>
      </c>
      <c r="N7" s="17">
        <v>65.037</v>
      </c>
      <c r="O7" s="17">
        <v>59.659</v>
      </c>
      <c r="P7" s="23"/>
      <c r="Q7" s="51"/>
      <c r="R7" s="50"/>
      <c r="S7" s="50"/>
      <c r="T7" s="50"/>
      <c r="U7" s="50"/>
      <c r="V7" s="50"/>
      <c r="W7" s="50"/>
      <c r="X7" s="50"/>
      <c r="Y7" s="50"/>
      <c r="Z7" s="50"/>
      <c r="AA7" s="50"/>
      <c r="AB7" s="50"/>
    </row>
    <row r="8" spans="2:28" ht="12.75">
      <c r="B8" s="14">
        <v>10027</v>
      </c>
      <c r="C8" s="15" t="s">
        <v>20</v>
      </c>
      <c r="D8" s="16">
        <v>1</v>
      </c>
      <c r="E8" s="16">
        <v>0</v>
      </c>
      <c r="F8" s="17">
        <v>62.107</v>
      </c>
      <c r="G8" s="17">
        <v>67.791</v>
      </c>
      <c r="H8" s="17">
        <v>68.216</v>
      </c>
      <c r="I8" s="17">
        <v>0</v>
      </c>
      <c r="J8" s="17">
        <v>0</v>
      </c>
      <c r="K8" s="17">
        <v>0</v>
      </c>
      <c r="L8" s="17">
        <v>0</v>
      </c>
      <c r="M8" s="17">
        <v>67.791</v>
      </c>
      <c r="N8" s="17">
        <v>68.216</v>
      </c>
      <c r="O8" s="17">
        <v>61.194</v>
      </c>
      <c r="P8" s="23"/>
      <c r="Q8" s="51"/>
      <c r="R8" s="50"/>
      <c r="S8" s="50"/>
      <c r="T8" s="50"/>
      <c r="U8" s="50"/>
      <c r="V8" s="50"/>
      <c r="W8" s="50"/>
      <c r="X8" s="50"/>
      <c r="Y8" s="50"/>
      <c r="Z8" s="50"/>
      <c r="AA8" s="50"/>
      <c r="AB8" s="50"/>
    </row>
    <row r="9" spans="2:28" ht="12.75">
      <c r="B9" s="14">
        <v>10029</v>
      </c>
      <c r="C9" s="15" t="s">
        <v>21</v>
      </c>
      <c r="D9" s="16">
        <v>0</v>
      </c>
      <c r="E9" s="16">
        <v>1</v>
      </c>
      <c r="F9" s="17">
        <v>17.879</v>
      </c>
      <c r="G9" s="17">
        <v>21.679</v>
      </c>
      <c r="H9" s="17">
        <v>21.674</v>
      </c>
      <c r="I9" s="17">
        <v>0</v>
      </c>
      <c r="J9" s="17">
        <v>0</v>
      </c>
      <c r="K9" s="17">
        <v>0</v>
      </c>
      <c r="L9" s="17">
        <v>0</v>
      </c>
      <c r="M9" s="17">
        <v>21.679</v>
      </c>
      <c r="N9" s="17">
        <v>21.674</v>
      </c>
      <c r="O9" s="17">
        <v>17.616</v>
      </c>
      <c r="P9" s="23"/>
      <c r="Q9" s="51"/>
      <c r="R9" s="50"/>
      <c r="S9" s="50"/>
      <c r="T9" s="50"/>
      <c r="U9" s="50"/>
      <c r="V9" s="50"/>
      <c r="W9" s="50"/>
      <c r="X9" s="50"/>
      <c r="Y9" s="50"/>
      <c r="Z9" s="50"/>
      <c r="AA9" s="50"/>
      <c r="AB9" s="50"/>
    </row>
    <row r="10" spans="2:28"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23"/>
      <c r="Q10" s="51"/>
      <c r="R10" s="50"/>
      <c r="S10" s="50"/>
      <c r="T10" s="50"/>
      <c r="U10" s="50"/>
      <c r="V10" s="50"/>
      <c r="W10" s="50"/>
      <c r="X10" s="50"/>
      <c r="Y10" s="50"/>
      <c r="Z10" s="50"/>
      <c r="AA10" s="50"/>
      <c r="AB10" s="50"/>
    </row>
    <row r="11" spans="2:28"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23"/>
      <c r="Q11" s="51"/>
      <c r="R11" s="50"/>
      <c r="S11" s="50"/>
      <c r="T11" s="50"/>
      <c r="U11" s="50"/>
      <c r="V11" s="50"/>
      <c r="W11" s="50"/>
      <c r="X11" s="50"/>
      <c r="Y11" s="50"/>
      <c r="Z11" s="50"/>
      <c r="AA11" s="50"/>
      <c r="AB11" s="50"/>
    </row>
    <row r="12" spans="2:28"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23"/>
      <c r="Q12" s="51"/>
      <c r="R12" s="50"/>
      <c r="S12" s="50"/>
      <c r="T12" s="50"/>
      <c r="U12" s="50"/>
      <c r="V12" s="50"/>
      <c r="W12" s="50"/>
      <c r="X12" s="50"/>
      <c r="Y12" s="50"/>
      <c r="Z12" s="50"/>
      <c r="AA12" s="50"/>
      <c r="AB12" s="50"/>
    </row>
    <row r="13" spans="2:28" ht="12.75">
      <c r="B13" s="14">
        <v>10055</v>
      </c>
      <c r="C13" s="15" t="s">
        <v>25</v>
      </c>
      <c r="D13" s="16">
        <v>1</v>
      </c>
      <c r="E13" s="16">
        <v>0</v>
      </c>
      <c r="F13" s="17">
        <v>0.404</v>
      </c>
      <c r="G13" s="17">
        <v>0.391</v>
      </c>
      <c r="H13" s="17">
        <v>0.39</v>
      </c>
      <c r="I13" s="17">
        <v>0</v>
      </c>
      <c r="J13" s="17">
        <v>0</v>
      </c>
      <c r="K13" s="17">
        <v>0</v>
      </c>
      <c r="L13" s="17">
        <v>0</v>
      </c>
      <c r="M13" s="17">
        <v>0.391</v>
      </c>
      <c r="N13" s="17">
        <v>0.39</v>
      </c>
      <c r="O13" s="17">
        <v>0.398</v>
      </c>
      <c r="P13" s="23"/>
      <c r="Q13" s="51"/>
      <c r="R13" s="50"/>
      <c r="S13" s="50"/>
      <c r="T13" s="50"/>
      <c r="U13" s="50"/>
      <c r="V13" s="50"/>
      <c r="W13" s="50"/>
      <c r="X13" s="50"/>
      <c r="Y13" s="50"/>
      <c r="Z13" s="50"/>
      <c r="AA13" s="50"/>
      <c r="AB13" s="50"/>
    </row>
    <row r="14" spans="2:28"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23"/>
      <c r="Q14" s="51"/>
      <c r="R14" s="50"/>
      <c r="S14" s="50"/>
      <c r="T14" s="50"/>
      <c r="U14" s="50"/>
      <c r="V14" s="50"/>
      <c r="W14" s="50"/>
      <c r="X14" s="50"/>
      <c r="Y14" s="50"/>
      <c r="Z14" s="50"/>
      <c r="AA14" s="50"/>
      <c r="AB14" s="50"/>
    </row>
    <row r="15" spans="2:28"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23"/>
      <c r="Q15" s="51"/>
      <c r="R15" s="50"/>
      <c r="S15" s="50"/>
      <c r="T15" s="50"/>
      <c r="U15" s="50"/>
      <c r="V15" s="50"/>
      <c r="W15" s="50"/>
      <c r="X15" s="50"/>
      <c r="Y15" s="50"/>
      <c r="Z15" s="50"/>
      <c r="AA15" s="50"/>
      <c r="AB15" s="50"/>
    </row>
    <row r="16" spans="2:28"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23"/>
      <c r="Q16" s="51"/>
      <c r="R16" s="50"/>
      <c r="S16" s="50"/>
      <c r="T16" s="50"/>
      <c r="U16" s="50"/>
      <c r="V16" s="50"/>
      <c r="W16" s="50"/>
      <c r="X16" s="50"/>
      <c r="Y16" s="50"/>
      <c r="Z16" s="50"/>
      <c r="AA16" s="50"/>
      <c r="AB16" s="50"/>
    </row>
    <row r="17" spans="2:28"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23"/>
      <c r="Q17" s="51"/>
      <c r="R17" s="50"/>
      <c r="S17" s="50"/>
      <c r="T17" s="50"/>
      <c r="U17" s="50"/>
      <c r="V17" s="50"/>
      <c r="W17" s="50"/>
      <c r="X17" s="50"/>
      <c r="Y17" s="50"/>
      <c r="Z17" s="50"/>
      <c r="AA17" s="50"/>
      <c r="AB17" s="50"/>
    </row>
    <row r="18" spans="2:28"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23"/>
      <c r="Q18" s="51"/>
      <c r="R18" s="50"/>
      <c r="S18" s="50"/>
      <c r="T18" s="50"/>
      <c r="U18" s="50"/>
      <c r="V18" s="50"/>
      <c r="W18" s="50"/>
      <c r="X18" s="50"/>
      <c r="Y18" s="50"/>
      <c r="Z18" s="50"/>
      <c r="AA18" s="50"/>
      <c r="AB18" s="50"/>
    </row>
    <row r="19" spans="2:28"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23"/>
      <c r="Q19" s="51"/>
      <c r="R19" s="50"/>
      <c r="S19" s="50"/>
      <c r="T19" s="50"/>
      <c r="U19" s="50"/>
      <c r="V19" s="50"/>
      <c r="W19" s="50"/>
      <c r="X19" s="50"/>
      <c r="Y19" s="50"/>
      <c r="Z19" s="50"/>
      <c r="AA19" s="50"/>
      <c r="AB19" s="50"/>
    </row>
    <row r="20" spans="2:28"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23"/>
      <c r="Q20" s="51"/>
      <c r="R20" s="50"/>
      <c r="S20" s="50"/>
      <c r="T20" s="50"/>
      <c r="U20" s="50"/>
      <c r="V20" s="50"/>
      <c r="W20" s="50"/>
      <c r="X20" s="50"/>
      <c r="Y20" s="50"/>
      <c r="Z20" s="50"/>
      <c r="AA20" s="50"/>
      <c r="AB20" s="50"/>
    </row>
    <row r="21" spans="2:28"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23"/>
      <c r="Q21" s="51"/>
      <c r="R21" s="50"/>
      <c r="S21" s="50"/>
      <c r="T21" s="50"/>
      <c r="U21" s="50"/>
      <c r="V21" s="50"/>
      <c r="W21" s="50"/>
      <c r="X21" s="50"/>
      <c r="Y21" s="50"/>
      <c r="Z21" s="50"/>
      <c r="AA21" s="50"/>
      <c r="AB21" s="50"/>
    </row>
    <row r="22" spans="2:28" ht="12.75">
      <c r="B22" s="14">
        <v>10068</v>
      </c>
      <c r="C22" s="15" t="s">
        <v>34</v>
      </c>
      <c r="D22" s="16">
        <v>1</v>
      </c>
      <c r="E22" s="16">
        <v>0</v>
      </c>
      <c r="F22" s="17">
        <v>2.811</v>
      </c>
      <c r="G22" s="17">
        <v>2.522</v>
      </c>
      <c r="H22" s="17">
        <v>2.52</v>
      </c>
      <c r="I22" s="17">
        <v>0</v>
      </c>
      <c r="J22" s="17">
        <v>0</v>
      </c>
      <c r="K22" s="17">
        <v>0</v>
      </c>
      <c r="L22" s="17">
        <v>0</v>
      </c>
      <c r="M22" s="17">
        <v>2.522</v>
      </c>
      <c r="N22" s="17">
        <v>2.52</v>
      </c>
      <c r="O22" s="17">
        <v>2.77</v>
      </c>
      <c r="P22" s="23"/>
      <c r="Q22" s="51"/>
      <c r="R22" s="50"/>
      <c r="S22" s="50"/>
      <c r="T22" s="50"/>
      <c r="U22" s="50"/>
      <c r="V22" s="50"/>
      <c r="W22" s="50"/>
      <c r="X22" s="50"/>
      <c r="Y22" s="50"/>
      <c r="Z22" s="50"/>
      <c r="AA22" s="50"/>
      <c r="AB22" s="50"/>
    </row>
    <row r="23" spans="2:28"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23"/>
      <c r="Q23" s="51"/>
      <c r="R23" s="50"/>
      <c r="S23" s="50"/>
      <c r="T23" s="50"/>
      <c r="U23" s="50"/>
      <c r="V23" s="50"/>
      <c r="W23" s="50"/>
      <c r="X23" s="50"/>
      <c r="Y23" s="50"/>
      <c r="Z23" s="50"/>
      <c r="AA23" s="50"/>
      <c r="AB23" s="50"/>
    </row>
    <row r="24" spans="2:28"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23"/>
      <c r="Q24" s="51"/>
      <c r="R24" s="50"/>
      <c r="S24" s="50"/>
      <c r="T24" s="50"/>
      <c r="U24" s="50"/>
      <c r="V24" s="50"/>
      <c r="W24" s="50"/>
      <c r="X24" s="50"/>
      <c r="Y24" s="50"/>
      <c r="Z24" s="50"/>
      <c r="AA24" s="50"/>
      <c r="AB24" s="50"/>
    </row>
    <row r="25" spans="2:28"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23"/>
      <c r="Q25" s="51"/>
      <c r="R25" s="50"/>
      <c r="S25" s="50"/>
      <c r="T25" s="50"/>
      <c r="U25" s="50"/>
      <c r="V25" s="50"/>
      <c r="W25" s="50"/>
      <c r="X25" s="50"/>
      <c r="Y25" s="50"/>
      <c r="Z25" s="50"/>
      <c r="AA25" s="50"/>
      <c r="AB25" s="50"/>
    </row>
    <row r="26" spans="2:28"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23"/>
      <c r="Q26" s="51"/>
      <c r="R26" s="50"/>
      <c r="S26" s="50"/>
      <c r="T26" s="50"/>
      <c r="U26" s="50"/>
      <c r="V26" s="50"/>
      <c r="W26" s="50"/>
      <c r="X26" s="50"/>
      <c r="Y26" s="50"/>
      <c r="Z26" s="50"/>
      <c r="AA26" s="50"/>
      <c r="AB26" s="50"/>
    </row>
    <row r="27" spans="2:28"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23"/>
      <c r="Q27" s="51"/>
      <c r="R27" s="50"/>
      <c r="S27" s="50"/>
      <c r="T27" s="50"/>
      <c r="U27" s="50"/>
      <c r="V27" s="50"/>
      <c r="W27" s="50"/>
      <c r="X27" s="50"/>
      <c r="Y27" s="50"/>
      <c r="Z27" s="50"/>
      <c r="AA27" s="50"/>
      <c r="AB27" s="50"/>
    </row>
    <row r="28" spans="2:28"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23"/>
      <c r="Q28" s="51"/>
      <c r="R28" s="50"/>
      <c r="S28" s="50"/>
      <c r="T28" s="50"/>
      <c r="U28" s="50"/>
      <c r="V28" s="50"/>
      <c r="W28" s="50"/>
      <c r="X28" s="50"/>
      <c r="Y28" s="50"/>
      <c r="Z28" s="50"/>
      <c r="AA28" s="50"/>
      <c r="AB28" s="50"/>
    </row>
    <row r="29" spans="2:28"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23"/>
      <c r="Q29" s="51"/>
      <c r="R29" s="50"/>
      <c r="S29" s="50"/>
      <c r="T29" s="50"/>
      <c r="U29" s="50"/>
      <c r="V29" s="50"/>
      <c r="W29" s="50"/>
      <c r="X29" s="50"/>
      <c r="Y29" s="50"/>
      <c r="Z29" s="50"/>
      <c r="AA29" s="50"/>
      <c r="AB29" s="50"/>
    </row>
    <row r="30" spans="2:28" ht="12.75">
      <c r="B30" s="14">
        <v>10080</v>
      </c>
      <c r="C30" s="15" t="s">
        <v>42</v>
      </c>
      <c r="D30" s="16">
        <v>1</v>
      </c>
      <c r="E30" s="16">
        <v>0</v>
      </c>
      <c r="F30" s="17">
        <v>7.548</v>
      </c>
      <c r="G30" s="17">
        <v>6.608</v>
      </c>
      <c r="H30" s="17">
        <v>6.61</v>
      </c>
      <c r="I30" s="17">
        <v>0</v>
      </c>
      <c r="J30" s="17">
        <v>0</v>
      </c>
      <c r="K30" s="17">
        <v>0</v>
      </c>
      <c r="L30" s="17">
        <v>0</v>
      </c>
      <c r="M30" s="17">
        <v>6.608</v>
      </c>
      <c r="N30" s="17">
        <v>6.61</v>
      </c>
      <c r="O30" s="17">
        <v>7.437</v>
      </c>
      <c r="P30" s="23"/>
      <c r="Q30" s="51"/>
      <c r="R30" s="50"/>
      <c r="S30" s="50"/>
      <c r="T30" s="50"/>
      <c r="U30" s="50"/>
      <c r="V30" s="50"/>
      <c r="W30" s="50"/>
      <c r="X30" s="50"/>
      <c r="Y30" s="50"/>
      <c r="Z30" s="50"/>
      <c r="AA30" s="50"/>
      <c r="AB30" s="50"/>
    </row>
    <row r="31" spans="2:28"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23"/>
      <c r="Q31" s="51"/>
      <c r="R31" s="50"/>
      <c r="S31" s="50"/>
      <c r="T31" s="50"/>
      <c r="U31" s="50"/>
      <c r="V31" s="50"/>
      <c r="W31" s="50"/>
      <c r="X31" s="50"/>
      <c r="Y31" s="50"/>
      <c r="Z31" s="50"/>
      <c r="AA31" s="50"/>
      <c r="AB31" s="50"/>
    </row>
    <row r="32" spans="2:28" ht="12.75">
      <c r="B32" s="14">
        <v>10082</v>
      </c>
      <c r="C32" s="15" t="s">
        <v>44</v>
      </c>
      <c r="D32" s="16">
        <v>1</v>
      </c>
      <c r="E32" s="16">
        <v>0</v>
      </c>
      <c r="F32" s="17">
        <v>0.12</v>
      </c>
      <c r="G32" s="17">
        <v>0.099</v>
      </c>
      <c r="H32" s="17">
        <v>0.099</v>
      </c>
      <c r="I32" s="17">
        <v>0</v>
      </c>
      <c r="J32" s="17">
        <v>0</v>
      </c>
      <c r="K32" s="17">
        <v>0</v>
      </c>
      <c r="L32" s="17">
        <v>0</v>
      </c>
      <c r="M32" s="17">
        <v>0.099</v>
      </c>
      <c r="N32" s="17">
        <v>0.099</v>
      </c>
      <c r="O32" s="17">
        <v>0.118</v>
      </c>
      <c r="P32" s="23"/>
      <c r="Q32" s="51"/>
      <c r="R32" s="50"/>
      <c r="S32" s="50"/>
      <c r="T32" s="50"/>
      <c r="U32" s="50"/>
      <c r="V32" s="50"/>
      <c r="W32" s="50"/>
      <c r="X32" s="50"/>
      <c r="Y32" s="50"/>
      <c r="Z32" s="50"/>
      <c r="AA32" s="50"/>
      <c r="AB32" s="50"/>
    </row>
    <row r="33" spans="2:28"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23"/>
      <c r="Q33" s="51"/>
      <c r="R33" s="50"/>
      <c r="S33" s="50"/>
      <c r="T33" s="50"/>
      <c r="U33" s="50"/>
      <c r="V33" s="50"/>
      <c r="W33" s="50"/>
      <c r="X33" s="50"/>
      <c r="Y33" s="50"/>
      <c r="Z33" s="50"/>
      <c r="AA33" s="50"/>
      <c r="AB33" s="50"/>
    </row>
    <row r="34" spans="2:28"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23"/>
      <c r="Q34" s="51"/>
      <c r="R34" s="50"/>
      <c r="S34" s="50"/>
      <c r="T34" s="50"/>
      <c r="U34" s="50"/>
      <c r="V34" s="50"/>
      <c r="W34" s="50"/>
      <c r="X34" s="50"/>
      <c r="Y34" s="50"/>
      <c r="Z34" s="50"/>
      <c r="AA34" s="50"/>
      <c r="AB34" s="50"/>
    </row>
    <row r="35" spans="2:28"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23"/>
      <c r="Q35" s="51"/>
      <c r="R35" s="50"/>
      <c r="S35" s="50"/>
      <c r="T35" s="50"/>
      <c r="U35" s="50"/>
      <c r="V35" s="50"/>
      <c r="W35" s="50"/>
      <c r="X35" s="50"/>
      <c r="Y35" s="50"/>
      <c r="Z35" s="50"/>
      <c r="AA35" s="50"/>
      <c r="AB35" s="50"/>
    </row>
    <row r="36" spans="2:28"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23"/>
      <c r="Q36" s="51"/>
      <c r="R36" s="50"/>
      <c r="S36" s="50"/>
      <c r="T36" s="50"/>
      <c r="U36" s="50"/>
      <c r="V36" s="50"/>
      <c r="W36" s="50"/>
      <c r="X36" s="50"/>
      <c r="Y36" s="50"/>
      <c r="Z36" s="50"/>
      <c r="AA36" s="50"/>
      <c r="AB36" s="50"/>
    </row>
    <row r="37" spans="2:28"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23"/>
      <c r="Q37" s="51"/>
      <c r="R37" s="50"/>
      <c r="S37" s="50"/>
      <c r="T37" s="50"/>
      <c r="U37" s="50"/>
      <c r="V37" s="50"/>
      <c r="W37" s="50"/>
      <c r="X37" s="50"/>
      <c r="Y37" s="50"/>
      <c r="Z37" s="50"/>
      <c r="AA37" s="50"/>
      <c r="AB37" s="50"/>
    </row>
    <row r="38" spans="2:28"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23"/>
      <c r="Q38" s="51"/>
      <c r="R38" s="50"/>
      <c r="S38" s="50"/>
      <c r="T38" s="50"/>
      <c r="U38" s="50"/>
      <c r="V38" s="50"/>
      <c r="W38" s="50"/>
      <c r="X38" s="50"/>
      <c r="Y38" s="50"/>
      <c r="Z38" s="50"/>
      <c r="AA38" s="50"/>
      <c r="AB38" s="50"/>
    </row>
    <row r="39" spans="2:28"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23"/>
      <c r="Q39" s="51"/>
      <c r="R39" s="50"/>
      <c r="S39" s="50"/>
      <c r="T39" s="50"/>
      <c r="U39" s="50"/>
      <c r="V39" s="50"/>
      <c r="W39" s="50"/>
      <c r="X39" s="50"/>
      <c r="Y39" s="50"/>
      <c r="Z39" s="50"/>
      <c r="AA39" s="50"/>
      <c r="AB39" s="50"/>
    </row>
    <row r="40" spans="2:28" ht="12.75">
      <c r="B40" s="14">
        <v>10097</v>
      </c>
      <c r="C40" s="15" t="s">
        <v>52</v>
      </c>
      <c r="D40" s="16">
        <v>1</v>
      </c>
      <c r="E40" s="16">
        <v>0</v>
      </c>
      <c r="F40" s="17">
        <v>2.068</v>
      </c>
      <c r="G40" s="17">
        <v>1.997</v>
      </c>
      <c r="H40" s="17">
        <v>2</v>
      </c>
      <c r="I40" s="17">
        <v>0</v>
      </c>
      <c r="J40" s="17">
        <v>0</v>
      </c>
      <c r="K40" s="17">
        <v>0</v>
      </c>
      <c r="L40" s="17">
        <v>0</v>
      </c>
      <c r="M40" s="17">
        <v>1.997</v>
      </c>
      <c r="N40" s="17">
        <v>2</v>
      </c>
      <c r="O40" s="17">
        <v>2.038</v>
      </c>
      <c r="P40" s="23"/>
      <c r="Q40" s="51"/>
      <c r="R40" s="50"/>
      <c r="S40" s="50"/>
      <c r="T40" s="50"/>
      <c r="U40" s="50"/>
      <c r="V40" s="50"/>
      <c r="W40" s="50"/>
      <c r="X40" s="50"/>
      <c r="Y40" s="50"/>
      <c r="Z40" s="50"/>
      <c r="AA40" s="50"/>
      <c r="AB40" s="50"/>
    </row>
    <row r="41" spans="2:28"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23"/>
      <c r="Q41" s="51"/>
      <c r="R41" s="50"/>
      <c r="S41" s="50"/>
      <c r="T41" s="50"/>
      <c r="U41" s="50"/>
      <c r="V41" s="50"/>
      <c r="W41" s="50"/>
      <c r="X41" s="50"/>
      <c r="Y41" s="50"/>
      <c r="Z41" s="50"/>
      <c r="AA41" s="50"/>
      <c r="AB41" s="50"/>
    </row>
    <row r="42" spans="2:28"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23"/>
      <c r="Q42" s="51"/>
      <c r="R42" s="50"/>
      <c r="S42" s="50"/>
      <c r="T42" s="50"/>
      <c r="U42" s="50"/>
      <c r="V42" s="50"/>
      <c r="W42" s="50"/>
      <c r="X42" s="50"/>
      <c r="Y42" s="50"/>
      <c r="Z42" s="50"/>
      <c r="AA42" s="50"/>
      <c r="AB42" s="50"/>
    </row>
    <row r="43" spans="2:28"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23"/>
      <c r="Q43" s="51"/>
      <c r="R43" s="50"/>
      <c r="S43" s="50"/>
      <c r="T43" s="50"/>
      <c r="U43" s="50"/>
      <c r="V43" s="50"/>
      <c r="W43" s="50"/>
      <c r="X43" s="50"/>
      <c r="Y43" s="50"/>
      <c r="Z43" s="50"/>
      <c r="AA43" s="50"/>
      <c r="AB43" s="50"/>
    </row>
    <row r="44" spans="2:28"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23"/>
      <c r="Q44" s="51"/>
      <c r="R44" s="50"/>
      <c r="S44" s="50"/>
      <c r="T44" s="50"/>
      <c r="U44" s="50"/>
      <c r="V44" s="50"/>
      <c r="W44" s="50"/>
      <c r="X44" s="50"/>
      <c r="Y44" s="50"/>
      <c r="Z44" s="50"/>
      <c r="AA44" s="50"/>
      <c r="AB44" s="50"/>
    </row>
    <row r="45" spans="2:28"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23"/>
      <c r="Q45" s="51"/>
      <c r="R45" s="50"/>
      <c r="S45" s="50"/>
      <c r="T45" s="50"/>
      <c r="U45" s="50"/>
      <c r="V45" s="50"/>
      <c r="W45" s="50"/>
      <c r="X45" s="50"/>
      <c r="Y45" s="50"/>
      <c r="Z45" s="50"/>
      <c r="AA45" s="50"/>
      <c r="AB45" s="50"/>
    </row>
    <row r="46" spans="2:28" ht="12.75">
      <c r="B46" s="14">
        <v>10111</v>
      </c>
      <c r="C46" s="15" t="s">
        <v>58</v>
      </c>
      <c r="D46" s="16">
        <v>1</v>
      </c>
      <c r="E46" s="16">
        <v>0</v>
      </c>
      <c r="F46" s="17">
        <v>3.283</v>
      </c>
      <c r="G46" s="17">
        <v>3.137</v>
      </c>
      <c r="H46" s="17">
        <v>3.14</v>
      </c>
      <c r="I46" s="17">
        <v>0</v>
      </c>
      <c r="J46" s="17">
        <v>0</v>
      </c>
      <c r="K46" s="17">
        <v>0</v>
      </c>
      <c r="L46" s="17">
        <v>0</v>
      </c>
      <c r="M46" s="17">
        <v>3.137</v>
      </c>
      <c r="N46" s="17">
        <v>3.14</v>
      </c>
      <c r="O46" s="17">
        <v>3.235</v>
      </c>
      <c r="P46" s="23"/>
      <c r="Q46" s="51"/>
      <c r="R46" s="50"/>
      <c r="S46" s="50"/>
      <c r="T46" s="50"/>
      <c r="U46" s="50"/>
      <c r="V46" s="50"/>
      <c r="W46" s="50"/>
      <c r="X46" s="50"/>
      <c r="Y46" s="50"/>
      <c r="Z46" s="50"/>
      <c r="AA46" s="50"/>
      <c r="AB46" s="50"/>
    </row>
    <row r="47" spans="2:28"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23"/>
      <c r="Q47" s="51"/>
      <c r="R47" s="50"/>
      <c r="S47" s="50"/>
      <c r="T47" s="50"/>
      <c r="U47" s="50"/>
      <c r="V47" s="50"/>
      <c r="W47" s="50"/>
      <c r="X47" s="50"/>
      <c r="Y47" s="50"/>
      <c r="Z47" s="50"/>
      <c r="AA47" s="50"/>
      <c r="AB47" s="50"/>
    </row>
    <row r="48" spans="2:28"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23"/>
      <c r="Q48" s="51"/>
      <c r="R48" s="50"/>
      <c r="S48" s="50"/>
      <c r="T48" s="50"/>
      <c r="U48" s="50"/>
      <c r="V48" s="50"/>
      <c r="W48" s="50"/>
      <c r="X48" s="50"/>
      <c r="Y48" s="50"/>
      <c r="Z48" s="50"/>
      <c r="AA48" s="50"/>
      <c r="AB48" s="50"/>
    </row>
    <row r="49" spans="2:28"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23"/>
      <c r="Q49" s="51"/>
      <c r="R49" s="50"/>
      <c r="S49" s="50"/>
      <c r="T49" s="50"/>
      <c r="U49" s="50"/>
      <c r="V49" s="50"/>
      <c r="W49" s="50"/>
      <c r="X49" s="50"/>
      <c r="Y49" s="50"/>
      <c r="Z49" s="50"/>
      <c r="AA49" s="50"/>
      <c r="AB49" s="50"/>
    </row>
    <row r="50" spans="2:28"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23"/>
      <c r="Q50" s="51"/>
      <c r="R50" s="50"/>
      <c r="S50" s="50"/>
      <c r="T50" s="50"/>
      <c r="U50" s="50"/>
      <c r="V50" s="50"/>
      <c r="W50" s="50"/>
      <c r="X50" s="50"/>
      <c r="Y50" s="50"/>
      <c r="Z50" s="50"/>
      <c r="AA50" s="50"/>
      <c r="AB50" s="50"/>
    </row>
    <row r="51" spans="2:28"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23"/>
      <c r="Q51" s="51"/>
      <c r="R51" s="50"/>
      <c r="S51" s="50"/>
      <c r="T51" s="50"/>
      <c r="U51" s="50"/>
      <c r="V51" s="50"/>
      <c r="W51" s="50"/>
      <c r="X51" s="50"/>
      <c r="Y51" s="50"/>
      <c r="Z51" s="50"/>
      <c r="AA51" s="50"/>
      <c r="AB51" s="50"/>
    </row>
    <row r="52" spans="2:28"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23"/>
      <c r="Q52" s="51"/>
      <c r="R52" s="50"/>
      <c r="S52" s="50"/>
      <c r="T52" s="50"/>
      <c r="U52" s="50"/>
      <c r="V52" s="50"/>
      <c r="W52" s="50"/>
      <c r="X52" s="50"/>
      <c r="Y52" s="50"/>
      <c r="Z52" s="50"/>
      <c r="AA52" s="50"/>
      <c r="AB52" s="50"/>
    </row>
    <row r="53" spans="2:28"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23"/>
      <c r="Q53" s="51"/>
      <c r="R53" s="50"/>
      <c r="S53" s="50"/>
      <c r="T53" s="50"/>
      <c r="U53" s="50"/>
      <c r="V53" s="50"/>
      <c r="W53" s="50"/>
      <c r="X53" s="50"/>
      <c r="Y53" s="50"/>
      <c r="Z53" s="50"/>
      <c r="AA53" s="50"/>
      <c r="AB53" s="50"/>
    </row>
    <row r="54" spans="2:28"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23"/>
      <c r="Q54" s="51"/>
      <c r="R54" s="50"/>
      <c r="S54" s="50"/>
      <c r="T54" s="50"/>
      <c r="U54" s="50"/>
      <c r="V54" s="50"/>
      <c r="W54" s="50"/>
      <c r="X54" s="50"/>
      <c r="Y54" s="50"/>
      <c r="Z54" s="50"/>
      <c r="AA54" s="50"/>
      <c r="AB54" s="50"/>
    </row>
    <row r="55" spans="2:28"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23"/>
      <c r="Q55" s="51"/>
      <c r="R55" s="50"/>
      <c r="S55" s="50"/>
      <c r="T55" s="50"/>
      <c r="U55" s="50"/>
      <c r="V55" s="50"/>
      <c r="W55" s="50"/>
      <c r="X55" s="50"/>
      <c r="Y55" s="50"/>
      <c r="Z55" s="50"/>
      <c r="AA55" s="50"/>
      <c r="AB55" s="50"/>
    </row>
    <row r="56" spans="2:28"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23"/>
      <c r="Q56" s="51"/>
      <c r="R56" s="50"/>
      <c r="S56" s="50"/>
      <c r="T56" s="50"/>
      <c r="U56" s="50"/>
      <c r="V56" s="50"/>
      <c r="W56" s="50"/>
      <c r="X56" s="50"/>
      <c r="Y56" s="50"/>
      <c r="Z56" s="50"/>
      <c r="AA56" s="50"/>
      <c r="AB56" s="50"/>
    </row>
    <row r="57" spans="2:28"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23"/>
      <c r="Q57" s="51"/>
      <c r="R57" s="50"/>
      <c r="S57" s="50"/>
      <c r="T57" s="50"/>
      <c r="U57" s="50"/>
      <c r="V57" s="50"/>
      <c r="W57" s="50"/>
      <c r="X57" s="50"/>
      <c r="Y57" s="50"/>
      <c r="Z57" s="50"/>
      <c r="AA57" s="50"/>
      <c r="AB57" s="50"/>
    </row>
    <row r="58" spans="2:28"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23"/>
      <c r="Q58" s="51"/>
      <c r="R58" s="50"/>
      <c r="S58" s="50"/>
      <c r="T58" s="50"/>
      <c r="U58" s="50"/>
      <c r="V58" s="50"/>
      <c r="W58" s="50"/>
      <c r="X58" s="50"/>
      <c r="Y58" s="50"/>
      <c r="Z58" s="50"/>
      <c r="AA58" s="50"/>
      <c r="AB58" s="50"/>
    </row>
    <row r="59" spans="2:28"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23"/>
      <c r="Q59" s="51"/>
      <c r="R59" s="50"/>
      <c r="S59" s="50"/>
      <c r="T59" s="50"/>
      <c r="U59" s="50"/>
      <c r="V59" s="50"/>
      <c r="W59" s="50"/>
      <c r="X59" s="50"/>
      <c r="Y59" s="50"/>
      <c r="Z59" s="50"/>
      <c r="AA59" s="50"/>
      <c r="AB59" s="50"/>
    </row>
    <row r="60" spans="2:28"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23"/>
      <c r="Q60" s="51"/>
      <c r="R60" s="50"/>
      <c r="S60" s="50"/>
      <c r="T60" s="50"/>
      <c r="U60" s="50"/>
      <c r="V60" s="50"/>
      <c r="W60" s="50"/>
      <c r="X60" s="50"/>
      <c r="Y60" s="50"/>
      <c r="Z60" s="50"/>
      <c r="AA60" s="50"/>
      <c r="AB60" s="50"/>
    </row>
    <row r="61" spans="2:28"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23"/>
      <c r="Q61" s="51"/>
      <c r="R61" s="50"/>
      <c r="S61" s="50"/>
      <c r="T61" s="50"/>
      <c r="U61" s="50"/>
      <c r="V61" s="50"/>
      <c r="W61" s="50"/>
      <c r="X61" s="50"/>
      <c r="Y61" s="50"/>
      <c r="Z61" s="50"/>
      <c r="AA61" s="50"/>
      <c r="AB61" s="50"/>
    </row>
    <row r="62" spans="2:28"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23"/>
      <c r="Q62" s="51"/>
      <c r="R62" s="50"/>
      <c r="S62" s="50"/>
      <c r="T62" s="50"/>
      <c r="U62" s="50"/>
      <c r="V62" s="50"/>
      <c r="W62" s="50"/>
      <c r="X62" s="50"/>
      <c r="Y62" s="50"/>
      <c r="Z62" s="50"/>
      <c r="AA62" s="50"/>
      <c r="AB62" s="50"/>
    </row>
    <row r="63" spans="2:28"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23"/>
      <c r="Q63" s="51"/>
      <c r="R63" s="50"/>
      <c r="S63" s="50"/>
      <c r="T63" s="50"/>
      <c r="U63" s="50"/>
      <c r="V63" s="50"/>
      <c r="W63" s="50"/>
      <c r="X63" s="50"/>
      <c r="Y63" s="50"/>
      <c r="Z63" s="50"/>
      <c r="AA63" s="50"/>
      <c r="AB63" s="50"/>
    </row>
    <row r="64" spans="2:28"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23"/>
      <c r="Q64" s="51"/>
      <c r="R64" s="50"/>
      <c r="S64" s="50"/>
      <c r="T64" s="50"/>
      <c r="U64" s="50"/>
      <c r="V64" s="50"/>
      <c r="W64" s="50"/>
      <c r="X64" s="50"/>
      <c r="Y64" s="50"/>
      <c r="Z64" s="50"/>
      <c r="AA64" s="50"/>
      <c r="AB64" s="50"/>
    </row>
    <row r="65" spans="2:28"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23"/>
      <c r="Q65" s="51"/>
      <c r="R65" s="50"/>
      <c r="S65" s="50"/>
      <c r="T65" s="50"/>
      <c r="U65" s="50"/>
      <c r="V65" s="50"/>
      <c r="W65" s="50"/>
      <c r="X65" s="50"/>
      <c r="Y65" s="50"/>
      <c r="Z65" s="50"/>
      <c r="AA65" s="50"/>
      <c r="AB65" s="50"/>
    </row>
    <row r="66" spans="2:28"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23"/>
      <c r="Q66" s="51"/>
      <c r="R66" s="50"/>
      <c r="S66" s="50"/>
      <c r="T66" s="50"/>
      <c r="U66" s="50"/>
      <c r="V66" s="50"/>
      <c r="W66" s="50"/>
      <c r="X66" s="50"/>
      <c r="Y66" s="50"/>
      <c r="Z66" s="50"/>
      <c r="AA66" s="50"/>
      <c r="AB66" s="50"/>
    </row>
    <row r="67" spans="2:28"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23"/>
      <c r="Q67" s="51"/>
      <c r="R67" s="50"/>
      <c r="S67" s="50"/>
      <c r="T67" s="50"/>
      <c r="U67" s="50"/>
      <c r="V67" s="50"/>
      <c r="W67" s="50"/>
      <c r="X67" s="50"/>
      <c r="Y67" s="50"/>
      <c r="Z67" s="50"/>
      <c r="AA67" s="50"/>
      <c r="AB67" s="50"/>
    </row>
    <row r="68" spans="2:28"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23"/>
      <c r="Q68" s="51"/>
      <c r="R68" s="50"/>
      <c r="S68" s="50"/>
      <c r="T68" s="50"/>
      <c r="U68" s="50"/>
      <c r="V68" s="50"/>
      <c r="W68" s="50"/>
      <c r="X68" s="50"/>
      <c r="Y68" s="50"/>
      <c r="Z68" s="50"/>
      <c r="AA68" s="50"/>
      <c r="AB68" s="50"/>
    </row>
    <row r="69" spans="2:28"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23"/>
      <c r="Q69" s="51"/>
      <c r="R69" s="50"/>
      <c r="S69" s="50"/>
      <c r="T69" s="50"/>
      <c r="U69" s="50"/>
      <c r="V69" s="50"/>
      <c r="W69" s="50"/>
      <c r="X69" s="50"/>
      <c r="Y69" s="50"/>
      <c r="Z69" s="50"/>
      <c r="AA69" s="50"/>
      <c r="AB69" s="50"/>
    </row>
    <row r="70" spans="2:28"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23"/>
      <c r="Q70" s="51"/>
      <c r="R70" s="50"/>
      <c r="S70" s="50"/>
      <c r="T70" s="50"/>
      <c r="U70" s="50"/>
      <c r="V70" s="50"/>
      <c r="W70" s="50"/>
      <c r="X70" s="50"/>
      <c r="Y70" s="50"/>
      <c r="Z70" s="50"/>
      <c r="AA70" s="50"/>
      <c r="AB70" s="50"/>
    </row>
    <row r="71" spans="2:28"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23"/>
      <c r="Q71" s="51"/>
      <c r="R71" s="50"/>
      <c r="S71" s="50"/>
      <c r="T71" s="50"/>
      <c r="U71" s="50"/>
      <c r="V71" s="50"/>
      <c r="W71" s="50"/>
      <c r="X71" s="50"/>
      <c r="Y71" s="50"/>
      <c r="Z71" s="50"/>
      <c r="AA71" s="50"/>
      <c r="AB71" s="50"/>
    </row>
    <row r="72" spans="2:28"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23"/>
      <c r="Q72" s="51"/>
      <c r="R72" s="50"/>
      <c r="S72" s="50"/>
      <c r="T72" s="50"/>
      <c r="U72" s="50"/>
      <c r="V72" s="50"/>
      <c r="W72" s="50"/>
      <c r="X72" s="50"/>
      <c r="Y72" s="50"/>
      <c r="Z72" s="50"/>
      <c r="AA72" s="50"/>
      <c r="AB72" s="50"/>
    </row>
    <row r="73" spans="2:28"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23"/>
      <c r="Q73" s="51"/>
      <c r="R73" s="50"/>
      <c r="S73" s="50"/>
      <c r="T73" s="50"/>
      <c r="U73" s="50"/>
      <c r="V73" s="50"/>
      <c r="W73" s="50"/>
      <c r="X73" s="50"/>
      <c r="Y73" s="50"/>
      <c r="Z73" s="50"/>
      <c r="AA73" s="50"/>
      <c r="AB73" s="50"/>
    </row>
    <row r="74" spans="2:28"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23"/>
      <c r="Q74" s="51"/>
      <c r="R74" s="50"/>
      <c r="S74" s="50"/>
      <c r="T74" s="50"/>
      <c r="U74" s="50"/>
      <c r="V74" s="50"/>
      <c r="W74" s="50"/>
      <c r="X74" s="50"/>
      <c r="Y74" s="50"/>
      <c r="Z74" s="50"/>
      <c r="AA74" s="50"/>
      <c r="AB74" s="50"/>
    </row>
    <row r="75" spans="2:28"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23"/>
      <c r="Q75" s="51"/>
      <c r="R75" s="50"/>
      <c r="S75" s="50"/>
      <c r="T75" s="50"/>
      <c r="U75" s="50"/>
      <c r="V75" s="50"/>
      <c r="W75" s="50"/>
      <c r="X75" s="50"/>
      <c r="Y75" s="50"/>
      <c r="Z75" s="50"/>
      <c r="AA75" s="50"/>
      <c r="AB75" s="50"/>
    </row>
    <row r="76" spans="2:28"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23"/>
      <c r="Q76" s="51"/>
      <c r="R76" s="50"/>
      <c r="S76" s="50"/>
      <c r="T76" s="50"/>
      <c r="U76" s="50"/>
      <c r="V76" s="50"/>
      <c r="W76" s="50"/>
      <c r="X76" s="50"/>
      <c r="Y76" s="50"/>
      <c r="Z76" s="50"/>
      <c r="AA76" s="50"/>
      <c r="AB76" s="50"/>
    </row>
    <row r="77" spans="2:28"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23"/>
      <c r="Q77" s="51"/>
      <c r="R77" s="50"/>
      <c r="S77" s="50"/>
      <c r="T77" s="50"/>
      <c r="U77" s="50"/>
      <c r="V77" s="50"/>
      <c r="W77" s="50"/>
      <c r="X77" s="50"/>
      <c r="Y77" s="50"/>
      <c r="Z77" s="50"/>
      <c r="AA77" s="50"/>
      <c r="AB77" s="50"/>
    </row>
    <row r="78" spans="2:28"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23"/>
      <c r="Q78" s="51"/>
      <c r="R78" s="50"/>
      <c r="S78" s="50"/>
      <c r="T78" s="50"/>
      <c r="U78" s="50"/>
      <c r="V78" s="50"/>
      <c r="W78" s="50"/>
      <c r="X78" s="50"/>
      <c r="Y78" s="50"/>
      <c r="Z78" s="50"/>
      <c r="AA78" s="50"/>
      <c r="AB78" s="50"/>
    </row>
    <row r="79" spans="2:28"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23"/>
      <c r="Q79" s="51"/>
      <c r="R79" s="50"/>
      <c r="S79" s="50"/>
      <c r="T79" s="50"/>
      <c r="U79" s="50"/>
      <c r="V79" s="50"/>
      <c r="W79" s="50"/>
      <c r="X79" s="50"/>
      <c r="Y79" s="50"/>
      <c r="Z79" s="50"/>
      <c r="AA79" s="50"/>
      <c r="AB79" s="50"/>
    </row>
    <row r="80" spans="2:28"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23"/>
      <c r="Q80" s="51"/>
      <c r="R80" s="50"/>
      <c r="S80" s="50"/>
      <c r="T80" s="50"/>
      <c r="U80" s="50"/>
      <c r="V80" s="50"/>
      <c r="W80" s="50"/>
      <c r="X80" s="50"/>
      <c r="Y80" s="50"/>
      <c r="Z80" s="50"/>
      <c r="AA80" s="50"/>
      <c r="AB80" s="50"/>
    </row>
    <row r="81" spans="2:28"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23"/>
      <c r="Q81" s="51"/>
      <c r="R81" s="50"/>
      <c r="S81" s="50"/>
      <c r="T81" s="50"/>
      <c r="U81" s="50"/>
      <c r="V81" s="50"/>
      <c r="W81" s="50"/>
      <c r="X81" s="50"/>
      <c r="Y81" s="50"/>
      <c r="Z81" s="50"/>
      <c r="AA81" s="50"/>
      <c r="AB81" s="50"/>
    </row>
    <row r="82" spans="2:28"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23"/>
      <c r="Q82" s="51"/>
      <c r="R82" s="50"/>
      <c r="S82" s="50"/>
      <c r="T82" s="50"/>
      <c r="U82" s="50"/>
      <c r="V82" s="50"/>
      <c r="W82" s="50"/>
      <c r="X82" s="50"/>
      <c r="Y82" s="50"/>
      <c r="Z82" s="50"/>
      <c r="AA82" s="50"/>
      <c r="AB82" s="50"/>
    </row>
    <row r="83" spans="2:28"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23"/>
      <c r="Q83" s="51"/>
      <c r="R83" s="50"/>
      <c r="S83" s="50"/>
      <c r="T83" s="50"/>
      <c r="U83" s="50"/>
      <c r="V83" s="50"/>
      <c r="W83" s="50"/>
      <c r="X83" s="50"/>
      <c r="Y83" s="50"/>
      <c r="Z83" s="50"/>
      <c r="AA83" s="50"/>
      <c r="AB83" s="50"/>
    </row>
    <row r="84" spans="2:28"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23"/>
      <c r="Q84" s="51"/>
      <c r="R84" s="50"/>
      <c r="S84" s="50"/>
      <c r="T84" s="50"/>
      <c r="U84" s="50"/>
      <c r="V84" s="50"/>
      <c r="W84" s="50"/>
      <c r="X84" s="50"/>
      <c r="Y84" s="50"/>
      <c r="Z84" s="50"/>
      <c r="AA84" s="50"/>
      <c r="AB84" s="50"/>
    </row>
    <row r="85" spans="2:28"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23"/>
      <c r="Q85" s="51"/>
      <c r="R85" s="50"/>
      <c r="S85" s="50"/>
      <c r="T85" s="50"/>
      <c r="U85" s="50"/>
      <c r="V85" s="50"/>
      <c r="W85" s="50"/>
      <c r="X85" s="50"/>
      <c r="Y85" s="50"/>
      <c r="Z85" s="50"/>
      <c r="AA85" s="50"/>
      <c r="AB85" s="50"/>
    </row>
    <row r="86" spans="2:28"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23"/>
      <c r="Q86" s="51"/>
      <c r="R86" s="50"/>
      <c r="S86" s="50"/>
      <c r="T86" s="50"/>
      <c r="U86" s="50"/>
      <c r="V86" s="50"/>
      <c r="W86" s="50"/>
      <c r="X86" s="50"/>
      <c r="Y86" s="50"/>
      <c r="Z86" s="50"/>
      <c r="AA86" s="50"/>
      <c r="AB86" s="50"/>
    </row>
    <row r="87" spans="2:28"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23"/>
      <c r="Q87" s="51"/>
      <c r="R87" s="50"/>
      <c r="S87" s="50"/>
      <c r="T87" s="50"/>
      <c r="U87" s="50"/>
      <c r="V87" s="50"/>
      <c r="W87" s="50"/>
      <c r="X87" s="50"/>
      <c r="Y87" s="50"/>
      <c r="Z87" s="50"/>
      <c r="AA87" s="50"/>
      <c r="AB87" s="50"/>
    </row>
    <row r="88" spans="2:28"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23"/>
      <c r="Q88" s="51"/>
      <c r="R88" s="50"/>
      <c r="S88" s="50"/>
      <c r="T88" s="50"/>
      <c r="U88" s="50"/>
      <c r="V88" s="50"/>
      <c r="W88" s="50"/>
      <c r="X88" s="50"/>
      <c r="Y88" s="50"/>
      <c r="Z88" s="50"/>
      <c r="AA88" s="50"/>
      <c r="AB88" s="50"/>
    </row>
    <row r="89" spans="2:28"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23"/>
      <c r="Q89" s="51"/>
      <c r="R89" s="50"/>
      <c r="S89" s="50"/>
      <c r="T89" s="50"/>
      <c r="U89" s="50"/>
      <c r="V89" s="50"/>
      <c r="W89" s="50"/>
      <c r="X89" s="50"/>
      <c r="Y89" s="50"/>
      <c r="Z89" s="50"/>
      <c r="AA89" s="50"/>
      <c r="AB89" s="50"/>
    </row>
    <row r="90" spans="2:28"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23"/>
      <c r="Q90" s="51"/>
      <c r="R90" s="50"/>
      <c r="S90" s="50"/>
      <c r="T90" s="50"/>
      <c r="U90" s="50"/>
      <c r="V90" s="50"/>
      <c r="W90" s="50"/>
      <c r="X90" s="50"/>
      <c r="Y90" s="50"/>
      <c r="Z90" s="50"/>
      <c r="AA90" s="50"/>
      <c r="AB90" s="50"/>
    </row>
    <row r="91" spans="2:28"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23"/>
      <c r="Q91" s="51"/>
      <c r="R91" s="50"/>
      <c r="S91" s="50"/>
      <c r="T91" s="50"/>
      <c r="U91" s="50"/>
      <c r="V91" s="50"/>
      <c r="W91" s="50"/>
      <c r="X91" s="50"/>
      <c r="Y91" s="50"/>
      <c r="Z91" s="50"/>
      <c r="AA91" s="50"/>
      <c r="AB91" s="50"/>
    </row>
    <row r="92" spans="2:28"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23"/>
      <c r="Q92" s="51"/>
      <c r="R92" s="50"/>
      <c r="S92" s="50"/>
      <c r="T92" s="50"/>
      <c r="U92" s="50"/>
      <c r="V92" s="50"/>
      <c r="W92" s="50"/>
      <c r="X92" s="50"/>
      <c r="Y92" s="50"/>
      <c r="Z92" s="50"/>
      <c r="AA92" s="50"/>
      <c r="AB92" s="50"/>
    </row>
    <row r="93" spans="2:28"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23"/>
      <c r="Q93" s="51"/>
      <c r="R93" s="50"/>
      <c r="S93" s="50"/>
      <c r="T93" s="50"/>
      <c r="U93" s="50"/>
      <c r="V93" s="50"/>
      <c r="W93" s="50"/>
      <c r="X93" s="50"/>
      <c r="Y93" s="50"/>
      <c r="Z93" s="50"/>
      <c r="AA93" s="50"/>
      <c r="AB93" s="50"/>
    </row>
    <row r="94" spans="2:28"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23"/>
      <c r="Q94" s="51"/>
      <c r="R94" s="50"/>
      <c r="S94" s="50"/>
      <c r="T94" s="50"/>
      <c r="U94" s="50"/>
      <c r="V94" s="50"/>
      <c r="W94" s="50"/>
      <c r="X94" s="50"/>
      <c r="Y94" s="50"/>
      <c r="Z94" s="50"/>
      <c r="AA94" s="50"/>
      <c r="AB94" s="50"/>
    </row>
    <row r="95" spans="2:28"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23"/>
      <c r="Q95" s="51"/>
      <c r="R95" s="50"/>
      <c r="S95" s="50"/>
      <c r="T95" s="50"/>
      <c r="U95" s="50"/>
      <c r="V95" s="50"/>
      <c r="W95" s="50"/>
      <c r="X95" s="50"/>
      <c r="Y95" s="50"/>
      <c r="Z95" s="50"/>
      <c r="AA95" s="50"/>
      <c r="AB95" s="50"/>
    </row>
    <row r="96" spans="2:28"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23"/>
      <c r="Q96" s="51"/>
      <c r="R96" s="50"/>
      <c r="S96" s="50"/>
      <c r="T96" s="50"/>
      <c r="U96" s="50"/>
      <c r="V96" s="50"/>
      <c r="W96" s="50"/>
      <c r="X96" s="50"/>
      <c r="Y96" s="50"/>
      <c r="Z96" s="50"/>
      <c r="AA96" s="50"/>
      <c r="AB96" s="50"/>
    </row>
    <row r="97" spans="2:28"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23"/>
      <c r="Q97" s="51"/>
      <c r="R97" s="50"/>
      <c r="S97" s="50"/>
      <c r="T97" s="50"/>
      <c r="U97" s="50"/>
      <c r="V97" s="50"/>
      <c r="W97" s="50"/>
      <c r="X97" s="50"/>
      <c r="Y97" s="50"/>
      <c r="Z97" s="50"/>
      <c r="AA97" s="50"/>
      <c r="AB97" s="50"/>
    </row>
    <row r="98" spans="2:28"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23"/>
      <c r="Q98" s="51"/>
      <c r="R98" s="50"/>
      <c r="S98" s="50"/>
      <c r="T98" s="50"/>
      <c r="U98" s="50"/>
      <c r="V98" s="50"/>
      <c r="W98" s="50"/>
      <c r="X98" s="50"/>
      <c r="Y98" s="50"/>
      <c r="Z98" s="50"/>
      <c r="AA98" s="50"/>
      <c r="AB98" s="50"/>
    </row>
    <row r="99" spans="2:28"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23"/>
      <c r="Q99" s="51"/>
      <c r="R99" s="50"/>
      <c r="S99" s="50"/>
      <c r="T99" s="50"/>
      <c r="U99" s="50"/>
      <c r="V99" s="50"/>
      <c r="W99" s="50"/>
      <c r="X99" s="50"/>
      <c r="Y99" s="50"/>
      <c r="Z99" s="50"/>
      <c r="AA99" s="50"/>
      <c r="AB99" s="50"/>
    </row>
    <row r="100" spans="2:28"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23"/>
      <c r="Q100" s="51"/>
      <c r="R100" s="50"/>
      <c r="S100" s="50"/>
      <c r="T100" s="50"/>
      <c r="U100" s="50"/>
      <c r="V100" s="50"/>
      <c r="W100" s="50"/>
      <c r="X100" s="50"/>
      <c r="Y100" s="50"/>
      <c r="Z100" s="50"/>
      <c r="AA100" s="50"/>
      <c r="AB100" s="50"/>
    </row>
    <row r="101" spans="2:28"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23"/>
      <c r="Q101" s="51"/>
      <c r="R101" s="50"/>
      <c r="S101" s="50"/>
      <c r="T101" s="50"/>
      <c r="U101" s="50"/>
      <c r="V101" s="50"/>
      <c r="W101" s="50"/>
      <c r="X101" s="50"/>
      <c r="Y101" s="50"/>
      <c r="Z101" s="50"/>
      <c r="AA101" s="50"/>
      <c r="AB101" s="50"/>
    </row>
    <row r="102" spans="2:28"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23"/>
      <c r="Q102" s="51"/>
      <c r="R102" s="50"/>
      <c r="S102" s="50"/>
      <c r="T102" s="50"/>
      <c r="U102" s="50"/>
      <c r="V102" s="50"/>
      <c r="W102" s="50"/>
      <c r="X102" s="50"/>
      <c r="Y102" s="50"/>
      <c r="Z102" s="50"/>
      <c r="AA102" s="50"/>
      <c r="AB102" s="50"/>
    </row>
    <row r="103" spans="2:28"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23"/>
      <c r="Q103" s="51"/>
      <c r="R103" s="50"/>
      <c r="S103" s="50"/>
      <c r="T103" s="50"/>
      <c r="U103" s="50"/>
      <c r="V103" s="50"/>
      <c r="W103" s="50"/>
      <c r="X103" s="50"/>
      <c r="Y103" s="50"/>
      <c r="Z103" s="50"/>
      <c r="AA103" s="50"/>
      <c r="AB103" s="50"/>
    </row>
    <row r="104" spans="2:28"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23"/>
      <c r="Q104" s="51"/>
      <c r="R104" s="50"/>
      <c r="S104" s="50"/>
      <c r="T104" s="50"/>
      <c r="U104" s="50"/>
      <c r="V104" s="50"/>
      <c r="W104" s="50"/>
      <c r="X104" s="50"/>
      <c r="Y104" s="50"/>
      <c r="Z104" s="50"/>
      <c r="AA104" s="50"/>
      <c r="AB104" s="50"/>
    </row>
    <row r="105" spans="2:28"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23"/>
      <c r="Q105" s="51"/>
      <c r="R105" s="50"/>
      <c r="S105" s="50"/>
      <c r="T105" s="50"/>
      <c r="U105" s="50"/>
      <c r="V105" s="50"/>
      <c r="W105" s="50"/>
      <c r="X105" s="50"/>
      <c r="Y105" s="50"/>
      <c r="Z105" s="50"/>
      <c r="AA105" s="50"/>
      <c r="AB105" s="50"/>
    </row>
    <row r="106" spans="2:28"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23"/>
      <c r="Q106" s="51"/>
      <c r="R106" s="50"/>
      <c r="S106" s="50"/>
      <c r="T106" s="50"/>
      <c r="U106" s="50"/>
      <c r="V106" s="50"/>
      <c r="W106" s="50"/>
      <c r="X106" s="50"/>
      <c r="Y106" s="50"/>
      <c r="Z106" s="50"/>
      <c r="AA106" s="50"/>
      <c r="AB106" s="50"/>
    </row>
    <row r="107" spans="2:28"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23"/>
      <c r="Q107" s="51"/>
      <c r="R107" s="50"/>
      <c r="S107" s="50"/>
      <c r="T107" s="50"/>
      <c r="U107" s="50"/>
      <c r="V107" s="50"/>
      <c r="W107" s="50"/>
      <c r="X107" s="50"/>
      <c r="Y107" s="50"/>
      <c r="Z107" s="50"/>
      <c r="AA107" s="50"/>
      <c r="AB107" s="50"/>
    </row>
    <row r="108" spans="2:28"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23"/>
      <c r="Q108" s="51"/>
      <c r="R108" s="50"/>
      <c r="S108" s="50"/>
      <c r="T108" s="50"/>
      <c r="U108" s="50"/>
      <c r="V108" s="50"/>
      <c r="W108" s="50"/>
      <c r="X108" s="50"/>
      <c r="Y108" s="50"/>
      <c r="Z108" s="50"/>
      <c r="AA108" s="50"/>
      <c r="AB108" s="50"/>
    </row>
    <row r="109" spans="2:28"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23"/>
      <c r="Q109" s="51"/>
      <c r="R109" s="50"/>
      <c r="S109" s="50"/>
      <c r="T109" s="50"/>
      <c r="U109" s="50"/>
      <c r="V109" s="50"/>
      <c r="W109" s="50"/>
      <c r="X109" s="50"/>
      <c r="Y109" s="50"/>
      <c r="Z109" s="50"/>
      <c r="AA109" s="50"/>
      <c r="AB109" s="50"/>
    </row>
    <row r="110" spans="2:28"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23"/>
      <c r="Q110" s="51"/>
      <c r="R110" s="50"/>
      <c r="S110" s="50"/>
      <c r="T110" s="50"/>
      <c r="U110" s="50"/>
      <c r="V110" s="50"/>
      <c r="W110" s="50"/>
      <c r="X110" s="50"/>
      <c r="Y110" s="50"/>
      <c r="Z110" s="50"/>
      <c r="AA110" s="50"/>
      <c r="AB110" s="50"/>
    </row>
    <row r="111" spans="2:28"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23"/>
      <c r="Q111" s="51"/>
      <c r="R111" s="50"/>
      <c r="S111" s="50"/>
      <c r="T111" s="50"/>
      <c r="U111" s="50"/>
      <c r="V111" s="50"/>
      <c r="W111" s="50"/>
      <c r="X111" s="50"/>
      <c r="Y111" s="50"/>
      <c r="Z111" s="50"/>
      <c r="AA111" s="50"/>
      <c r="AB111" s="50"/>
    </row>
    <row r="112" spans="2:28"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23"/>
      <c r="Q112" s="51"/>
      <c r="R112" s="50"/>
      <c r="S112" s="50"/>
      <c r="T112" s="50"/>
      <c r="U112" s="50"/>
      <c r="V112" s="50"/>
      <c r="W112" s="50"/>
      <c r="X112" s="50"/>
      <c r="Y112" s="50"/>
      <c r="Z112" s="50"/>
      <c r="AA112" s="50"/>
      <c r="AB112" s="50"/>
    </row>
    <row r="113" spans="2:28"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23"/>
      <c r="Q113" s="51"/>
      <c r="R113" s="50"/>
      <c r="S113" s="50"/>
      <c r="T113" s="50"/>
      <c r="U113" s="50"/>
      <c r="V113" s="50"/>
      <c r="W113" s="50"/>
      <c r="X113" s="50"/>
      <c r="Y113" s="50"/>
      <c r="Z113" s="50"/>
      <c r="AA113" s="50"/>
      <c r="AB113" s="50"/>
    </row>
    <row r="114" spans="2:28"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23"/>
      <c r="Q114" s="51"/>
      <c r="R114" s="50"/>
      <c r="S114" s="50"/>
      <c r="T114" s="50"/>
      <c r="U114" s="50"/>
      <c r="V114" s="50"/>
      <c r="W114" s="50"/>
      <c r="X114" s="50"/>
      <c r="Y114" s="50"/>
      <c r="Z114" s="50"/>
      <c r="AA114" s="50"/>
      <c r="AB114" s="50"/>
    </row>
    <row r="115" spans="2:28"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23"/>
      <c r="Q115" s="51"/>
      <c r="R115" s="50"/>
      <c r="S115" s="50"/>
      <c r="T115" s="50"/>
      <c r="U115" s="50"/>
      <c r="V115" s="50"/>
      <c r="W115" s="50"/>
      <c r="X115" s="50"/>
      <c r="Y115" s="50"/>
      <c r="Z115" s="50"/>
      <c r="AA115" s="50"/>
      <c r="AB115" s="50"/>
    </row>
    <row r="116" spans="2:28"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23"/>
      <c r="Q116" s="51"/>
      <c r="R116" s="50"/>
      <c r="S116" s="50"/>
      <c r="T116" s="50"/>
      <c r="U116" s="50"/>
      <c r="V116" s="50"/>
      <c r="W116" s="50"/>
      <c r="X116" s="50"/>
      <c r="Y116" s="50"/>
      <c r="Z116" s="50"/>
      <c r="AA116" s="50"/>
      <c r="AB116" s="50"/>
    </row>
    <row r="117" spans="2:28"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23"/>
      <c r="Q117" s="51"/>
      <c r="R117" s="50"/>
      <c r="S117" s="50"/>
      <c r="T117" s="50"/>
      <c r="U117" s="50"/>
      <c r="V117" s="50"/>
      <c r="W117" s="50"/>
      <c r="X117" s="50"/>
      <c r="Y117" s="50"/>
      <c r="Z117" s="50"/>
      <c r="AA117" s="50"/>
      <c r="AB117" s="50"/>
    </row>
    <row r="118" spans="2:28"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23"/>
      <c r="Q118" s="51"/>
      <c r="R118" s="50"/>
      <c r="S118" s="50"/>
      <c r="T118" s="50"/>
      <c r="U118" s="50"/>
      <c r="V118" s="50"/>
      <c r="W118" s="50"/>
      <c r="X118" s="50"/>
      <c r="Y118" s="50"/>
      <c r="Z118" s="50"/>
      <c r="AA118" s="50"/>
      <c r="AB118" s="50"/>
    </row>
    <row r="119" spans="2:28"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23"/>
      <c r="Q119" s="51"/>
      <c r="R119" s="50"/>
      <c r="S119" s="50"/>
      <c r="T119" s="50"/>
      <c r="U119" s="50"/>
      <c r="V119" s="50"/>
      <c r="W119" s="50"/>
      <c r="X119" s="50"/>
      <c r="Y119" s="50"/>
      <c r="Z119" s="50"/>
      <c r="AA119" s="50"/>
      <c r="AB119" s="50"/>
    </row>
    <row r="120" spans="2:28"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23"/>
      <c r="Q120" s="51"/>
      <c r="R120" s="50"/>
      <c r="S120" s="50"/>
      <c r="T120" s="50"/>
      <c r="U120" s="50"/>
      <c r="V120" s="50"/>
      <c r="W120" s="50"/>
      <c r="X120" s="50"/>
      <c r="Y120" s="50"/>
      <c r="Z120" s="50"/>
      <c r="AA120" s="50"/>
      <c r="AB120" s="50"/>
    </row>
    <row r="121" spans="2:28"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23"/>
      <c r="Q121" s="51"/>
      <c r="R121" s="50"/>
      <c r="S121" s="50"/>
      <c r="T121" s="50"/>
      <c r="U121" s="50"/>
      <c r="V121" s="50"/>
      <c r="W121" s="50"/>
      <c r="X121" s="50"/>
      <c r="Y121" s="50"/>
      <c r="Z121" s="50"/>
      <c r="AA121" s="50"/>
      <c r="AB121" s="50"/>
    </row>
    <row r="122" spans="2:28"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23"/>
      <c r="Q122" s="51"/>
      <c r="R122" s="50"/>
      <c r="S122" s="50"/>
      <c r="T122" s="50"/>
      <c r="U122" s="50"/>
      <c r="V122" s="50"/>
      <c r="W122" s="50"/>
      <c r="X122" s="50"/>
      <c r="Y122" s="50"/>
      <c r="Z122" s="50"/>
      <c r="AA122" s="50"/>
      <c r="AB122" s="50"/>
    </row>
    <row r="123" spans="2:28"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23"/>
      <c r="Q123" s="51"/>
      <c r="R123" s="50"/>
      <c r="S123" s="50"/>
      <c r="T123" s="50"/>
      <c r="U123" s="50"/>
      <c r="V123" s="50"/>
      <c r="W123" s="50"/>
      <c r="X123" s="50"/>
      <c r="Y123" s="50"/>
      <c r="Z123" s="50"/>
      <c r="AA123" s="50"/>
      <c r="AB123" s="50"/>
    </row>
    <row r="124" spans="2:28"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23"/>
      <c r="Q124" s="51"/>
      <c r="R124" s="50"/>
      <c r="S124" s="50"/>
      <c r="T124" s="50"/>
      <c r="U124" s="50"/>
      <c r="V124" s="50"/>
      <c r="W124" s="50"/>
      <c r="X124" s="50"/>
      <c r="Y124" s="50"/>
      <c r="Z124" s="50"/>
      <c r="AA124" s="50"/>
      <c r="AB124" s="50"/>
    </row>
    <row r="125" spans="2:28"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23"/>
      <c r="Q125" s="51"/>
      <c r="R125" s="50"/>
      <c r="S125" s="50"/>
      <c r="T125" s="50"/>
      <c r="U125" s="50"/>
      <c r="V125" s="50"/>
      <c r="W125" s="50"/>
      <c r="X125" s="50"/>
      <c r="Y125" s="50"/>
      <c r="Z125" s="50"/>
      <c r="AA125" s="50"/>
      <c r="AB125" s="50"/>
    </row>
    <row r="126" spans="2:28"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23"/>
      <c r="Q126" s="51"/>
      <c r="R126" s="50"/>
      <c r="S126" s="50"/>
      <c r="T126" s="50"/>
      <c r="U126" s="50"/>
      <c r="V126" s="50"/>
      <c r="W126" s="50"/>
      <c r="X126" s="50"/>
      <c r="Y126" s="50"/>
      <c r="Z126" s="50"/>
      <c r="AA126" s="50"/>
      <c r="AB126" s="50"/>
    </row>
    <row r="127" spans="2:28"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23"/>
      <c r="Q127" s="51"/>
      <c r="R127" s="50"/>
      <c r="S127" s="50"/>
      <c r="T127" s="50"/>
      <c r="U127" s="50"/>
      <c r="V127" s="50"/>
      <c r="W127" s="50"/>
      <c r="X127" s="50"/>
      <c r="Y127" s="50"/>
      <c r="Z127" s="50"/>
      <c r="AA127" s="50"/>
      <c r="AB127" s="50"/>
    </row>
    <row r="128" spans="2:28"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23"/>
      <c r="Q128" s="51"/>
      <c r="R128" s="50"/>
      <c r="S128" s="50"/>
      <c r="T128" s="50"/>
      <c r="U128" s="50"/>
      <c r="V128" s="50"/>
      <c r="W128" s="50"/>
      <c r="X128" s="50"/>
      <c r="Y128" s="50"/>
      <c r="Z128" s="50"/>
      <c r="AA128" s="50"/>
      <c r="AB128" s="50"/>
    </row>
    <row r="129" spans="2:28"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23"/>
      <c r="Q129" s="51"/>
      <c r="R129" s="50"/>
      <c r="S129" s="50"/>
      <c r="T129" s="50"/>
      <c r="U129" s="50"/>
      <c r="V129" s="50"/>
      <c r="W129" s="50"/>
      <c r="X129" s="50"/>
      <c r="Y129" s="50"/>
      <c r="Z129" s="50"/>
      <c r="AA129" s="50"/>
      <c r="AB129" s="50"/>
    </row>
    <row r="130" spans="2:28"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23"/>
      <c r="Q130" s="51"/>
      <c r="R130" s="50"/>
      <c r="S130" s="50"/>
      <c r="T130" s="50"/>
      <c r="U130" s="50"/>
      <c r="V130" s="50"/>
      <c r="W130" s="50"/>
      <c r="X130" s="50"/>
      <c r="Y130" s="50"/>
      <c r="Z130" s="50"/>
      <c r="AA130" s="50"/>
      <c r="AB130" s="50"/>
    </row>
    <row r="131" spans="2:28"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23"/>
      <c r="Q131" s="51"/>
      <c r="R131" s="50"/>
      <c r="S131" s="50"/>
      <c r="T131" s="50"/>
      <c r="U131" s="50"/>
      <c r="V131" s="50"/>
      <c r="W131" s="50"/>
      <c r="X131" s="50"/>
      <c r="Y131" s="50"/>
      <c r="Z131" s="50"/>
      <c r="AA131" s="50"/>
      <c r="AB131" s="50"/>
    </row>
    <row r="132" spans="2:28"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23"/>
      <c r="Q132" s="51"/>
      <c r="R132" s="50"/>
      <c r="S132" s="50"/>
      <c r="T132" s="50"/>
      <c r="U132" s="50"/>
      <c r="V132" s="50"/>
      <c r="W132" s="50"/>
      <c r="X132" s="50"/>
      <c r="Y132" s="50"/>
      <c r="Z132" s="50"/>
      <c r="AA132" s="50"/>
      <c r="AB132" s="50"/>
    </row>
    <row r="133" spans="2:28"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23"/>
      <c r="Q133" s="51"/>
      <c r="R133" s="50"/>
      <c r="S133" s="50"/>
      <c r="T133" s="50"/>
      <c r="U133" s="50"/>
      <c r="V133" s="50"/>
      <c r="W133" s="50"/>
      <c r="X133" s="50"/>
      <c r="Y133" s="50"/>
      <c r="Z133" s="50"/>
      <c r="AA133" s="50"/>
      <c r="AB133" s="50"/>
    </row>
    <row r="134" spans="2:28"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23"/>
      <c r="Q134" s="51"/>
      <c r="R134" s="50"/>
      <c r="S134" s="50"/>
      <c r="T134" s="50"/>
      <c r="U134" s="50"/>
      <c r="V134" s="50"/>
      <c r="W134" s="50"/>
      <c r="X134" s="50"/>
      <c r="Y134" s="50"/>
      <c r="Z134" s="50"/>
      <c r="AA134" s="50"/>
      <c r="AB134" s="50"/>
    </row>
    <row r="135" spans="2:28"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23"/>
      <c r="Q135" s="51"/>
      <c r="R135" s="50"/>
      <c r="S135" s="50"/>
      <c r="T135" s="50"/>
      <c r="U135" s="50"/>
      <c r="V135" s="50"/>
      <c r="W135" s="50"/>
      <c r="X135" s="50"/>
      <c r="Y135" s="50"/>
      <c r="Z135" s="50"/>
      <c r="AA135" s="50"/>
      <c r="AB135" s="50"/>
    </row>
    <row r="136" spans="2:28"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23"/>
      <c r="Q136" s="51"/>
      <c r="R136" s="50"/>
      <c r="S136" s="50"/>
      <c r="T136" s="50"/>
      <c r="U136" s="50"/>
      <c r="V136" s="50"/>
      <c r="W136" s="50"/>
      <c r="X136" s="50"/>
      <c r="Y136" s="50"/>
      <c r="Z136" s="50"/>
      <c r="AA136" s="50"/>
      <c r="AB136" s="50"/>
    </row>
    <row r="137" spans="2:28"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23"/>
      <c r="Q137" s="51"/>
      <c r="R137" s="50"/>
      <c r="S137" s="50"/>
      <c r="T137" s="50"/>
      <c r="U137" s="50"/>
      <c r="V137" s="50"/>
      <c r="W137" s="50"/>
      <c r="X137" s="50"/>
      <c r="Y137" s="50"/>
      <c r="Z137" s="50"/>
      <c r="AA137" s="50"/>
      <c r="AB137" s="50"/>
    </row>
    <row r="138" spans="2:28"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23"/>
      <c r="Q138" s="51"/>
      <c r="R138" s="50"/>
      <c r="S138" s="50"/>
      <c r="T138" s="50"/>
      <c r="U138" s="50"/>
      <c r="V138" s="50"/>
      <c r="W138" s="50"/>
      <c r="X138" s="50"/>
      <c r="Y138" s="50"/>
      <c r="Z138" s="50"/>
      <c r="AA138" s="50"/>
      <c r="AB138" s="50"/>
    </row>
    <row r="139" spans="2:17" ht="12.75">
      <c r="B139" s="30" t="s">
        <v>150</v>
      </c>
      <c r="C139" s="31" t="s">
        <v>150</v>
      </c>
      <c r="D139" s="16"/>
      <c r="E139" s="16"/>
      <c r="F139" s="17"/>
      <c r="G139" s="17"/>
      <c r="H139" s="17"/>
      <c r="I139" s="17"/>
      <c r="J139" s="17"/>
      <c r="K139" s="17"/>
      <c r="L139" s="17"/>
      <c r="M139" s="17"/>
      <c r="N139" s="17"/>
      <c r="O139" s="17"/>
      <c r="P139" s="23"/>
      <c r="Q139" s="51"/>
    </row>
    <row r="140" spans="1:17" ht="68.25" customHeight="1">
      <c r="A140" s="21"/>
      <c r="B140" s="213" t="s">
        <v>162</v>
      </c>
      <c r="C140" s="214"/>
      <c r="D140" s="214"/>
      <c r="E140" s="214"/>
      <c r="F140" s="214"/>
      <c r="G140" s="214"/>
      <c r="H140" s="214"/>
      <c r="I140" s="214"/>
      <c r="J140" s="214"/>
      <c r="K140" s="214"/>
      <c r="L140" s="214"/>
      <c r="M140" s="214"/>
      <c r="N140" s="214"/>
      <c r="O140" s="215"/>
      <c r="P140" s="23"/>
      <c r="Q140" s="51"/>
    </row>
    <row r="141" spans="1:17" ht="59.45" customHeight="1">
      <c r="A141" s="21"/>
      <c r="B141" s="210" t="s">
        <v>163</v>
      </c>
      <c r="C141" s="211"/>
      <c r="D141" s="211"/>
      <c r="E141" s="211"/>
      <c r="F141" s="211"/>
      <c r="G141" s="211"/>
      <c r="H141" s="211"/>
      <c r="I141" s="211"/>
      <c r="J141" s="211"/>
      <c r="K141" s="211"/>
      <c r="L141" s="211"/>
      <c r="M141" s="211"/>
      <c r="N141" s="211"/>
      <c r="O141" s="212"/>
      <c r="P141" s="23"/>
      <c r="Q141" s="51"/>
    </row>
    <row r="142" spans="1:17" ht="30" customHeight="1">
      <c r="A142" s="21"/>
      <c r="B142" s="210" t="s">
        <v>174</v>
      </c>
      <c r="C142" s="211"/>
      <c r="D142" s="211"/>
      <c r="E142" s="211"/>
      <c r="F142" s="211"/>
      <c r="G142" s="211"/>
      <c r="H142" s="211"/>
      <c r="I142" s="211"/>
      <c r="J142" s="211"/>
      <c r="K142" s="211"/>
      <c r="L142" s="211"/>
      <c r="M142" s="211"/>
      <c r="N142" s="211"/>
      <c r="O142" s="212"/>
      <c r="P142" s="23"/>
      <c r="Q142" s="51"/>
    </row>
    <row r="143" spans="2:17" ht="12.75">
      <c r="B143" s="14" t="s">
        <v>150</v>
      </c>
      <c r="C143" s="15" t="s">
        <v>150</v>
      </c>
      <c r="D143" s="16" t="s">
        <v>150</v>
      </c>
      <c r="E143" s="16" t="s">
        <v>150</v>
      </c>
      <c r="F143" s="17" t="s">
        <v>150</v>
      </c>
      <c r="G143" s="19" t="s">
        <v>150</v>
      </c>
      <c r="H143" s="19" t="s">
        <v>150</v>
      </c>
      <c r="I143" s="19" t="s">
        <v>150</v>
      </c>
      <c r="J143" s="19" t="s">
        <v>150</v>
      </c>
      <c r="K143" s="19" t="s">
        <v>150</v>
      </c>
      <c r="L143" s="19" t="s">
        <v>150</v>
      </c>
      <c r="M143" s="19" t="s">
        <v>150</v>
      </c>
      <c r="N143" s="19" t="s">
        <v>150</v>
      </c>
      <c r="O143" s="17" t="s">
        <v>150</v>
      </c>
      <c r="P143" s="23"/>
      <c r="Q143" s="51"/>
    </row>
    <row r="144" spans="2:17" ht="12.75">
      <c r="B144" s="14" t="s">
        <v>150</v>
      </c>
      <c r="C144" s="15" t="s">
        <v>150</v>
      </c>
      <c r="D144" s="16" t="s">
        <v>150</v>
      </c>
      <c r="E144" s="16" t="s">
        <v>150</v>
      </c>
      <c r="F144" s="17" t="s">
        <v>150</v>
      </c>
      <c r="G144" s="19" t="s">
        <v>150</v>
      </c>
      <c r="H144" s="19" t="s">
        <v>150</v>
      </c>
      <c r="I144" s="19" t="s">
        <v>150</v>
      </c>
      <c r="J144" s="19" t="s">
        <v>150</v>
      </c>
      <c r="K144" s="19" t="s">
        <v>150</v>
      </c>
      <c r="L144" s="19" t="s">
        <v>150</v>
      </c>
      <c r="M144" s="19" t="s">
        <v>150</v>
      </c>
      <c r="N144" s="19" t="s">
        <v>150</v>
      </c>
      <c r="O144" s="17" t="s">
        <v>150</v>
      </c>
      <c r="P144" s="23"/>
      <c r="Q144" s="51"/>
    </row>
    <row r="145" spans="2:17" ht="12.75">
      <c r="B145" s="14" t="s">
        <v>150</v>
      </c>
      <c r="C145" s="15" t="s">
        <v>150</v>
      </c>
      <c r="D145" s="16" t="s">
        <v>150</v>
      </c>
      <c r="E145" s="16" t="s">
        <v>150</v>
      </c>
      <c r="F145" s="17" t="s">
        <v>150</v>
      </c>
      <c r="G145" s="19" t="s">
        <v>150</v>
      </c>
      <c r="H145" s="19" t="s">
        <v>150</v>
      </c>
      <c r="I145" s="19" t="s">
        <v>150</v>
      </c>
      <c r="J145" s="19" t="s">
        <v>150</v>
      </c>
      <c r="K145" s="19" t="s">
        <v>150</v>
      </c>
      <c r="L145" s="19" t="s">
        <v>150</v>
      </c>
      <c r="M145" s="19" t="s">
        <v>150</v>
      </c>
      <c r="N145" s="19" t="s">
        <v>150</v>
      </c>
      <c r="O145" s="17" t="s">
        <v>150</v>
      </c>
      <c r="P145" s="23"/>
      <c r="Q145" s="51"/>
    </row>
    <row r="146" spans="2:17"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23"/>
      <c r="Q146" s="51"/>
    </row>
    <row r="147" spans="2:17"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23"/>
      <c r="Q147" s="51"/>
    </row>
    <row r="148" spans="2:17" ht="12.75">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23"/>
      <c r="Q148" s="51"/>
    </row>
    <row r="149" spans="2:17" ht="12.75">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23"/>
      <c r="Q149" s="51"/>
    </row>
    <row r="150" spans="2:17" ht="12.75">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23"/>
      <c r="Q150" s="51"/>
    </row>
    <row r="151" spans="2:17" ht="12.75">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23"/>
      <c r="Q151" s="51"/>
    </row>
    <row r="152" spans="2:17" ht="12.75">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23"/>
      <c r="Q152" s="51"/>
    </row>
    <row r="153" spans="2:17" ht="12.75">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23"/>
      <c r="Q153" s="51"/>
    </row>
    <row r="154" spans="2:17" ht="12.75">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23"/>
      <c r="Q154" s="51"/>
    </row>
    <row r="155" spans="2:17" ht="12.75">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23"/>
      <c r="Q155" s="51"/>
    </row>
    <row r="156" spans="2:17" ht="12.75">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23"/>
      <c r="Q156" s="51"/>
    </row>
    <row r="157" spans="2:17" ht="12.75">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23"/>
      <c r="Q157" s="51"/>
    </row>
    <row r="158" spans="2:17" ht="12.75">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23"/>
      <c r="Q158" s="51"/>
    </row>
    <row r="159" spans="2:17" ht="12.75">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23"/>
      <c r="Q159" s="51"/>
    </row>
    <row r="160" spans="2:17" ht="12.75">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23"/>
      <c r="Q160" s="51"/>
    </row>
    <row r="161" spans="2:17" ht="12.75">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23"/>
      <c r="Q161" s="51"/>
    </row>
    <row r="162" spans="2:17" ht="12.75">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23"/>
      <c r="Q162" s="51"/>
    </row>
    <row r="163" spans="2:17" ht="12.75">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23"/>
      <c r="Q163" s="51"/>
    </row>
    <row r="164" spans="2:17" ht="12.75">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23"/>
      <c r="Q164" s="51"/>
    </row>
    <row r="165" spans="2:17" ht="12.75">
      <c r="B165" s="22" t="s">
        <v>150</v>
      </c>
      <c r="C165" s="22"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23"/>
      <c r="Q165" s="51"/>
    </row>
    <row r="166" spans="2:17" ht="12.75">
      <c r="B166" s="22" t="s">
        <v>150</v>
      </c>
      <c r="C166" s="22"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23"/>
      <c r="Q166" s="51"/>
    </row>
    <row r="167" spans="2:17" ht="12.75">
      <c r="B167" s="22" t="s">
        <v>150</v>
      </c>
      <c r="C167" s="22"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23"/>
      <c r="Q167" s="51"/>
    </row>
    <row r="168" spans="2:17" ht="12.75">
      <c r="B168" s="13" t="s">
        <v>150</v>
      </c>
      <c r="C168" s="13"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23"/>
      <c r="Q168" s="51"/>
    </row>
    <row r="169" spans="4:17" ht="12.75">
      <c r="D169" s="19" t="s">
        <v>150</v>
      </c>
      <c r="E169" s="19" t="s">
        <v>150</v>
      </c>
      <c r="F169" s="17" t="s">
        <v>150</v>
      </c>
      <c r="G169" s="19" t="s">
        <v>150</v>
      </c>
      <c r="H169" s="19" t="s">
        <v>150</v>
      </c>
      <c r="I169" s="19" t="s">
        <v>150</v>
      </c>
      <c r="J169" s="19" t="s">
        <v>150</v>
      </c>
      <c r="K169" s="19" t="s">
        <v>150</v>
      </c>
      <c r="L169" s="19" t="s">
        <v>150</v>
      </c>
      <c r="M169" s="19" t="s">
        <v>150</v>
      </c>
      <c r="N169" s="19" t="s">
        <v>150</v>
      </c>
      <c r="O169" s="17" t="s">
        <v>150</v>
      </c>
      <c r="P169" s="23"/>
      <c r="Q169" s="51"/>
    </row>
    <row r="170" spans="4:17" ht="12.75">
      <c r="D170" s="19" t="s">
        <v>150</v>
      </c>
      <c r="E170" s="19" t="s">
        <v>150</v>
      </c>
      <c r="F170" s="17" t="s">
        <v>150</v>
      </c>
      <c r="G170" s="19" t="s">
        <v>150</v>
      </c>
      <c r="H170" s="19" t="s">
        <v>150</v>
      </c>
      <c r="I170" s="19" t="s">
        <v>150</v>
      </c>
      <c r="J170" s="19" t="s">
        <v>150</v>
      </c>
      <c r="K170" s="19" t="s">
        <v>150</v>
      </c>
      <c r="L170" s="19" t="s">
        <v>150</v>
      </c>
      <c r="M170" s="19" t="s">
        <v>150</v>
      </c>
      <c r="N170" s="19" t="s">
        <v>150</v>
      </c>
      <c r="O170" s="17" t="s">
        <v>150</v>
      </c>
      <c r="P170" s="23"/>
      <c r="Q170" s="51"/>
    </row>
    <row r="171" spans="4:17" ht="12.75">
      <c r="D171" s="19" t="s">
        <v>150</v>
      </c>
      <c r="E171" s="19" t="s">
        <v>150</v>
      </c>
      <c r="F171" s="17" t="s">
        <v>150</v>
      </c>
      <c r="G171" s="19" t="s">
        <v>150</v>
      </c>
      <c r="H171" s="19" t="s">
        <v>150</v>
      </c>
      <c r="I171" s="19" t="s">
        <v>150</v>
      </c>
      <c r="J171" s="19" t="s">
        <v>150</v>
      </c>
      <c r="K171" s="19" t="s">
        <v>150</v>
      </c>
      <c r="L171" s="19" t="s">
        <v>150</v>
      </c>
      <c r="M171" s="19" t="s">
        <v>150</v>
      </c>
      <c r="N171" s="19" t="s">
        <v>150</v>
      </c>
      <c r="O171" s="17" t="s">
        <v>150</v>
      </c>
      <c r="P171" s="23"/>
      <c r="Q171" s="51"/>
    </row>
    <row r="172" spans="4:17" ht="12.75">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23"/>
      <c r="Q172" s="51"/>
    </row>
    <row r="173" spans="4:17" ht="12.75">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23"/>
      <c r="Q173" s="51"/>
    </row>
    <row r="174" spans="4:17" ht="12.75">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23"/>
      <c r="Q174" s="51"/>
    </row>
    <row r="175" spans="4:17" ht="12.75">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23"/>
      <c r="Q175" s="51"/>
    </row>
    <row r="176" spans="4:17" ht="12.75">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23"/>
      <c r="Q176" s="51"/>
    </row>
    <row r="177" spans="4:17" ht="12.75">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23"/>
      <c r="Q177" s="51"/>
    </row>
    <row r="178" spans="4:17" ht="12.75">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23"/>
      <c r="Q178" s="51"/>
    </row>
    <row r="179" spans="4:17" ht="12.75">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23"/>
      <c r="Q179" s="51"/>
    </row>
    <row r="180" spans="4:17" ht="12.75">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23"/>
      <c r="Q180" s="51"/>
    </row>
    <row r="181" spans="4:17" ht="12.75">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23"/>
      <c r="Q181" s="51"/>
    </row>
    <row r="182" spans="4:17" ht="12.75">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23"/>
      <c r="Q182" s="51"/>
    </row>
  </sheetData>
  <mergeCells count="3">
    <mergeCell ref="B142:O142"/>
    <mergeCell ref="B140:O140"/>
    <mergeCell ref="B141:O141"/>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AA20" sqref="AA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24" width="9.140625" style="13" customWidth="1"/>
    <col min="25" max="25" width="29.8515625" style="13" bestFit="1" customWidth="1"/>
    <col min="26" max="26" width="10.28125" style="160" bestFit="1" customWidth="1"/>
    <col min="27" max="29" width="9.140625" style="160" customWidth="1"/>
    <col min="30" max="16384" width="9.140625" style="13" customWidth="1"/>
  </cols>
  <sheetData>
    <row r="1" spans="2:29" s="37" customFormat="1" ht="15.75">
      <c r="B1" s="36" t="s">
        <v>170</v>
      </c>
      <c r="C1" s="3"/>
      <c r="D1" s="4"/>
      <c r="E1" s="4"/>
      <c r="F1" s="4"/>
      <c r="G1" s="4"/>
      <c r="H1" s="4"/>
      <c r="I1" s="4"/>
      <c r="J1" s="4"/>
      <c r="K1" s="4"/>
      <c r="L1" s="4"/>
      <c r="M1" s="5"/>
      <c r="N1" s="5"/>
      <c r="O1" s="6"/>
      <c r="Q1" s="156">
        <v>0.5</v>
      </c>
      <c r="R1" s="157"/>
      <c r="S1" s="156">
        <v>0.5</v>
      </c>
      <c r="T1" s="157">
        <v>5</v>
      </c>
      <c r="Z1" s="157"/>
      <c r="AA1" s="157"/>
      <c r="AB1" s="157"/>
      <c r="AC1" s="157"/>
    </row>
    <row r="2" spans="1:29" s="37"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P2" s="11" t="s">
        <v>274</v>
      </c>
      <c r="Q2" s="11" t="s">
        <v>275</v>
      </c>
      <c r="R2" s="11" t="s">
        <v>276</v>
      </c>
      <c r="S2" s="11" t="s">
        <v>278</v>
      </c>
      <c r="T2" s="11" t="s">
        <v>276</v>
      </c>
      <c r="W2" s="168">
        <f>SUM(W4:W137)</f>
        <v>47.998463596023605</v>
      </c>
      <c r="X2" s="168">
        <f>SUM(X4:X137)</f>
        <v>89.74299999999988</v>
      </c>
      <c r="Z2" s="157"/>
      <c r="AA2" s="157"/>
      <c r="AB2" s="157"/>
      <c r="AC2" s="157"/>
    </row>
    <row r="3" spans="1:29" s="37"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P3" s="29" t="s">
        <v>273</v>
      </c>
      <c r="Q3" s="29" t="s">
        <v>281</v>
      </c>
      <c r="R3" s="29" t="s">
        <v>277</v>
      </c>
      <c r="S3" s="29" t="s">
        <v>280</v>
      </c>
      <c r="T3" s="29" t="s">
        <v>279</v>
      </c>
      <c r="U3" s="29" t="s">
        <v>288</v>
      </c>
      <c r="V3" s="29" t="s">
        <v>289</v>
      </c>
      <c r="W3" s="167" t="s">
        <v>295</v>
      </c>
      <c r="X3" s="167" t="s">
        <v>296</v>
      </c>
      <c r="Z3" s="157"/>
      <c r="AA3" s="157"/>
      <c r="AB3" s="157"/>
      <c r="AC3" s="157"/>
    </row>
    <row r="4" spans="2:30" ht="12.75">
      <c r="B4" s="14">
        <v>10005</v>
      </c>
      <c r="C4" s="15" t="s">
        <v>16</v>
      </c>
      <c r="D4" s="16">
        <v>1</v>
      </c>
      <c r="E4" s="16">
        <v>0</v>
      </c>
      <c r="F4" s="17">
        <v>0.556</v>
      </c>
      <c r="G4" s="17">
        <v>0.68</v>
      </c>
      <c r="H4" s="17">
        <v>0.689</v>
      </c>
      <c r="I4" s="17">
        <v>0</v>
      </c>
      <c r="J4" s="17">
        <v>0</v>
      </c>
      <c r="K4" s="17">
        <v>0</v>
      </c>
      <c r="L4" s="17">
        <v>0</v>
      </c>
      <c r="M4" s="17">
        <v>0.68</v>
      </c>
      <c r="N4" s="17">
        <v>0.689</v>
      </c>
      <c r="O4" s="17">
        <v>0.548</v>
      </c>
      <c r="P4" s="17">
        <f>IF(O4&gt;N4,O4-N4,0)</f>
        <v>0</v>
      </c>
      <c r="Q4" s="17">
        <f>P4*$Q$1</f>
        <v>0</v>
      </c>
      <c r="R4" s="17">
        <f>IF(O4&lt;N4,N4-O4,0)</f>
        <v>0.1409999999999999</v>
      </c>
      <c r="S4" s="17">
        <f>R4*$S$1</f>
        <v>0.07049999999999995</v>
      </c>
      <c r="T4" s="17">
        <f>MAX($T$1,O4-Q4+S4)</f>
        <v>5</v>
      </c>
      <c r="U4" s="17">
        <f aca="true" t="shared" si="0" ref="U4:U35">MAX(T4*$Z$18,$T$1)</f>
        <v>5</v>
      </c>
      <c r="V4" s="17">
        <f aca="true" t="shared" si="1" ref="V4:V35">T4*$Z$19</f>
        <v>4.948235194112616</v>
      </c>
      <c r="W4" s="17">
        <f>N4-V4</f>
        <v>-4.259235194112616</v>
      </c>
      <c r="X4" s="17">
        <f>N4-O4</f>
        <v>0.1409999999999999</v>
      </c>
      <c r="Y4" s="17"/>
      <c r="Z4" s="155"/>
      <c r="AA4" s="155"/>
      <c r="AB4" s="155"/>
      <c r="AC4" s="155"/>
      <c r="AD4" s="50"/>
    </row>
    <row r="5" spans="2:30" ht="12.75">
      <c r="B5" s="14">
        <v>10015</v>
      </c>
      <c r="C5" s="15" t="s">
        <v>17</v>
      </c>
      <c r="D5" s="16">
        <v>1</v>
      </c>
      <c r="E5" s="16">
        <v>0</v>
      </c>
      <c r="F5" s="17">
        <v>0.582</v>
      </c>
      <c r="G5" s="17">
        <v>0.582</v>
      </c>
      <c r="H5" s="17">
        <v>0.583</v>
      </c>
      <c r="I5" s="17">
        <v>0</v>
      </c>
      <c r="J5" s="17">
        <v>0</v>
      </c>
      <c r="K5" s="17">
        <v>0</v>
      </c>
      <c r="L5" s="17">
        <v>0</v>
      </c>
      <c r="M5" s="17">
        <v>0.582</v>
      </c>
      <c r="N5" s="17">
        <v>0.583</v>
      </c>
      <c r="O5" s="17">
        <v>0.573</v>
      </c>
      <c r="P5" s="17">
        <f aca="true" t="shared" si="2" ref="P5:P68">IF(O5&gt;N5,O5-N5,0)</f>
        <v>0</v>
      </c>
      <c r="Q5" s="17">
        <f aca="true" t="shared" si="3" ref="Q5:Q68">P5*$Q$1</f>
        <v>0</v>
      </c>
      <c r="R5" s="17">
        <f aca="true" t="shared" si="4" ref="R5:R68">IF(O5&lt;N5,N5-O5,0)</f>
        <v>0.010000000000000009</v>
      </c>
      <c r="S5" s="17">
        <f aca="true" t="shared" si="5" ref="S5:S68">R5*$S$1</f>
        <v>0.0050000000000000044</v>
      </c>
      <c r="T5" s="17">
        <f aca="true" t="shared" si="6" ref="T5:T68">MAX($T$1,O5-Q5+S5)</f>
        <v>5</v>
      </c>
      <c r="U5" s="17">
        <f t="shared" si="0"/>
        <v>5</v>
      </c>
      <c r="V5" s="17">
        <f t="shared" si="1"/>
        <v>4.948235194112616</v>
      </c>
      <c r="W5" s="17">
        <f aca="true" t="shared" si="7" ref="W5:W68">N5-V5</f>
        <v>-4.365235194112616</v>
      </c>
      <c r="X5" s="17">
        <f aca="true" t="shared" si="8" ref="X5:X68">N5-O5</f>
        <v>0.010000000000000009</v>
      </c>
      <c r="Y5" s="17"/>
      <c r="Z5" s="155"/>
      <c r="AA5" s="155"/>
      <c r="AB5" s="155"/>
      <c r="AC5" s="155"/>
      <c r="AD5" s="50"/>
    </row>
    <row r="6" spans="2:30"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17">
        <f t="shared" si="2"/>
        <v>0</v>
      </c>
      <c r="Q6" s="17">
        <f t="shared" si="3"/>
        <v>0</v>
      </c>
      <c r="R6" s="17">
        <f t="shared" si="4"/>
        <v>11.463999999999999</v>
      </c>
      <c r="S6" s="17">
        <f t="shared" si="5"/>
        <v>5.731999999999999</v>
      </c>
      <c r="T6" s="17">
        <f t="shared" si="6"/>
        <v>206.655</v>
      </c>
      <c r="U6" s="17">
        <f t="shared" si="0"/>
        <v>204.4726435210065</v>
      </c>
      <c r="V6" s="17">
        <f t="shared" si="1"/>
        <v>204.51550880786854</v>
      </c>
      <c r="W6" s="17">
        <f t="shared" si="7"/>
        <v>7.871491192131458</v>
      </c>
      <c r="X6" s="17">
        <f t="shared" si="8"/>
        <v>11.463999999999999</v>
      </c>
      <c r="Y6" s="17" t="s">
        <v>284</v>
      </c>
      <c r="Z6" s="153">
        <f>SUM(O4:O137)</f>
        <v>7063.367000000001</v>
      </c>
      <c r="AA6" s="155"/>
      <c r="AB6" s="155"/>
      <c r="AC6" s="155"/>
      <c r="AD6" s="50"/>
    </row>
    <row r="7" spans="2:30" ht="12.75">
      <c r="B7" s="14">
        <v>10025</v>
      </c>
      <c r="C7" s="15" t="s">
        <v>19</v>
      </c>
      <c r="D7" s="16">
        <v>1</v>
      </c>
      <c r="E7" s="16">
        <v>0</v>
      </c>
      <c r="F7" s="17">
        <v>60.549</v>
      </c>
      <c r="G7" s="17">
        <v>64.824</v>
      </c>
      <c r="H7" s="17">
        <v>65.037</v>
      </c>
      <c r="I7" s="17">
        <v>0</v>
      </c>
      <c r="J7" s="17">
        <v>0</v>
      </c>
      <c r="K7" s="17">
        <v>0</v>
      </c>
      <c r="L7" s="17">
        <v>0</v>
      </c>
      <c r="M7" s="17">
        <v>64.824</v>
      </c>
      <c r="N7" s="17">
        <v>65.037</v>
      </c>
      <c r="O7" s="17">
        <v>59.659</v>
      </c>
      <c r="P7" s="17">
        <f t="shared" si="2"/>
        <v>0</v>
      </c>
      <c r="Q7" s="17">
        <f t="shared" si="3"/>
        <v>0</v>
      </c>
      <c r="R7" s="17">
        <f t="shared" si="4"/>
        <v>5.378000000000007</v>
      </c>
      <c r="S7" s="17">
        <f t="shared" si="5"/>
        <v>2.6890000000000036</v>
      </c>
      <c r="T7" s="17">
        <f t="shared" si="6"/>
        <v>62.348</v>
      </c>
      <c r="U7" s="17">
        <f t="shared" si="0"/>
        <v>61.689581080775746</v>
      </c>
      <c r="V7" s="17">
        <f t="shared" si="1"/>
        <v>61.70251357650668</v>
      </c>
      <c r="W7" s="17">
        <f t="shared" si="7"/>
        <v>3.334486423493324</v>
      </c>
      <c r="X7" s="17">
        <f t="shared" si="8"/>
        <v>5.378000000000007</v>
      </c>
      <c r="Y7" s="17" t="s">
        <v>182</v>
      </c>
      <c r="Z7" s="153">
        <f>SUM(N4:N137)</f>
        <v>7153.110000000001</v>
      </c>
      <c r="AA7" s="155"/>
      <c r="AB7" s="155"/>
      <c r="AC7" s="155"/>
      <c r="AD7" s="50"/>
    </row>
    <row r="8" spans="2:30" ht="12.75">
      <c r="B8" s="14">
        <v>10027</v>
      </c>
      <c r="C8" s="15" t="s">
        <v>20</v>
      </c>
      <c r="D8" s="16">
        <v>1</v>
      </c>
      <c r="E8" s="16">
        <v>0</v>
      </c>
      <c r="F8" s="17">
        <v>62.107</v>
      </c>
      <c r="G8" s="17">
        <v>67.791</v>
      </c>
      <c r="H8" s="17">
        <v>68.216</v>
      </c>
      <c r="I8" s="17">
        <v>0</v>
      </c>
      <c r="J8" s="17">
        <v>0</v>
      </c>
      <c r="K8" s="17">
        <v>0</v>
      </c>
      <c r="L8" s="17">
        <v>0</v>
      </c>
      <c r="M8" s="17">
        <v>67.791</v>
      </c>
      <c r="N8" s="17">
        <v>68.216</v>
      </c>
      <c r="O8" s="17">
        <v>61.194</v>
      </c>
      <c r="P8" s="17">
        <f t="shared" si="2"/>
        <v>0</v>
      </c>
      <c r="Q8" s="17">
        <f t="shared" si="3"/>
        <v>0</v>
      </c>
      <c r="R8" s="17">
        <f t="shared" si="4"/>
        <v>7.021999999999991</v>
      </c>
      <c r="S8" s="17">
        <f t="shared" si="5"/>
        <v>3.5109999999999957</v>
      </c>
      <c r="T8" s="17">
        <f t="shared" si="6"/>
        <v>64.705</v>
      </c>
      <c r="U8" s="17">
        <f t="shared" si="0"/>
        <v>64.02169025199838</v>
      </c>
      <c r="V8" s="17">
        <f t="shared" si="1"/>
        <v>64.03511164701136</v>
      </c>
      <c r="W8" s="17">
        <f t="shared" si="7"/>
        <v>4.180888352988632</v>
      </c>
      <c r="X8" s="17">
        <f t="shared" si="8"/>
        <v>7.021999999999991</v>
      </c>
      <c r="Y8" s="17" t="s">
        <v>283</v>
      </c>
      <c r="Z8" s="154">
        <f>Z6/Z7</f>
        <v>0.9874539885448428</v>
      </c>
      <c r="AA8" s="155"/>
      <c r="AB8" s="155"/>
      <c r="AC8" s="155"/>
      <c r="AD8" s="50"/>
    </row>
    <row r="9" spans="2:30" ht="12.75">
      <c r="B9" s="14">
        <v>10029</v>
      </c>
      <c r="C9" s="15" t="s">
        <v>21</v>
      </c>
      <c r="D9" s="16">
        <v>0</v>
      </c>
      <c r="E9" s="16">
        <v>1</v>
      </c>
      <c r="F9" s="17">
        <v>17.879</v>
      </c>
      <c r="G9" s="17">
        <v>21.679</v>
      </c>
      <c r="H9" s="17">
        <v>21.674</v>
      </c>
      <c r="I9" s="17">
        <v>0</v>
      </c>
      <c r="J9" s="17">
        <v>0</v>
      </c>
      <c r="K9" s="17">
        <v>0</v>
      </c>
      <c r="L9" s="17">
        <v>0</v>
      </c>
      <c r="M9" s="17">
        <v>21.679</v>
      </c>
      <c r="N9" s="17">
        <v>21.674</v>
      </c>
      <c r="O9" s="17">
        <v>17.616</v>
      </c>
      <c r="P9" s="17">
        <f t="shared" si="2"/>
        <v>0</v>
      </c>
      <c r="Q9" s="17">
        <f t="shared" si="3"/>
        <v>0</v>
      </c>
      <c r="R9" s="17">
        <f t="shared" si="4"/>
        <v>4.058</v>
      </c>
      <c r="S9" s="17">
        <f t="shared" si="5"/>
        <v>2.029</v>
      </c>
      <c r="T9" s="17">
        <f t="shared" si="6"/>
        <v>19.645</v>
      </c>
      <c r="U9" s="17">
        <f t="shared" si="0"/>
        <v>19.43754122557002</v>
      </c>
      <c r="V9" s="17">
        <f t="shared" si="1"/>
        <v>19.44161607766847</v>
      </c>
      <c r="W9" s="17">
        <f t="shared" si="7"/>
        <v>2.232383922331529</v>
      </c>
      <c r="X9" s="17">
        <f t="shared" si="8"/>
        <v>4.058</v>
      </c>
      <c r="Y9" s="17"/>
      <c r="Z9" s="155"/>
      <c r="AA9" s="155"/>
      <c r="AB9" s="155"/>
      <c r="AC9" s="155"/>
      <c r="AD9" s="50"/>
    </row>
    <row r="10" spans="2:30"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17">
        <f t="shared" si="2"/>
        <v>0</v>
      </c>
      <c r="Q10" s="17">
        <f t="shared" si="3"/>
        <v>0</v>
      </c>
      <c r="R10" s="17">
        <f t="shared" si="4"/>
        <v>3.7409999999999997</v>
      </c>
      <c r="S10" s="17">
        <f t="shared" si="5"/>
        <v>1.8704999999999998</v>
      </c>
      <c r="T10" s="17">
        <f t="shared" si="6"/>
        <v>22.1795</v>
      </c>
      <c r="U10" s="17">
        <f t="shared" si="0"/>
        <v>21.94527592835481</v>
      </c>
      <c r="V10" s="17">
        <f t="shared" si="1"/>
        <v>21.949876497564155</v>
      </c>
      <c r="W10" s="17">
        <f t="shared" si="7"/>
        <v>2.100123502435846</v>
      </c>
      <c r="X10" s="17">
        <f t="shared" si="8"/>
        <v>3.7409999999999997</v>
      </c>
      <c r="Y10" s="17" t="s">
        <v>282</v>
      </c>
      <c r="Z10" s="153">
        <f>SUM(T4:T137)</f>
        <v>7179.439999999999</v>
      </c>
      <c r="AA10" s="155"/>
      <c r="AB10" s="155"/>
      <c r="AC10" s="155"/>
      <c r="AD10" s="50"/>
    </row>
    <row r="11" spans="2:30"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17">
        <f t="shared" si="2"/>
        <v>0</v>
      </c>
      <c r="Q11" s="17">
        <f t="shared" si="3"/>
        <v>0</v>
      </c>
      <c r="R11" s="17">
        <f t="shared" si="4"/>
        <v>18.754999999999995</v>
      </c>
      <c r="S11" s="17">
        <f t="shared" si="5"/>
        <v>9.377499999999998</v>
      </c>
      <c r="T11" s="17">
        <f t="shared" si="6"/>
        <v>91.2285</v>
      </c>
      <c r="U11" s="17">
        <f t="shared" si="0"/>
        <v>90.26509186545759</v>
      </c>
      <c r="V11" s="17">
        <f t="shared" si="1"/>
        <v>90.28401488122056</v>
      </c>
      <c r="W11" s="17">
        <f t="shared" si="7"/>
        <v>10.321985118779438</v>
      </c>
      <c r="X11" s="17">
        <f t="shared" si="8"/>
        <v>18.754999999999995</v>
      </c>
      <c r="Y11" s="17" t="str">
        <f>"Sum Base RHWM &gt; "&amp;T1</f>
        <v>Sum Base RHWM &gt; 5</v>
      </c>
      <c r="Z11" s="153">
        <f>SUMIF(T4:T137,"&gt;"&amp;T1)</f>
        <v>7049.439999999999</v>
      </c>
      <c r="AA11" s="155"/>
      <c r="AB11" s="155"/>
      <c r="AC11" s="155"/>
      <c r="AD11" s="50"/>
    </row>
    <row r="12" spans="2:30"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17">
        <f t="shared" si="2"/>
        <v>4.207999999999998</v>
      </c>
      <c r="Q12" s="17">
        <f t="shared" si="3"/>
        <v>2.103999999999999</v>
      </c>
      <c r="R12" s="17">
        <f t="shared" si="4"/>
        <v>0</v>
      </c>
      <c r="S12" s="17">
        <f t="shared" si="5"/>
        <v>0</v>
      </c>
      <c r="T12" s="17">
        <f t="shared" si="6"/>
        <v>154.56900000000002</v>
      </c>
      <c r="U12" s="17">
        <f t="shared" si="0"/>
        <v>152.93669176355982</v>
      </c>
      <c r="V12" s="17">
        <f t="shared" si="1"/>
        <v>152.96875314375862</v>
      </c>
      <c r="W12" s="17">
        <f t="shared" si="7"/>
        <v>-0.5037531437586154</v>
      </c>
      <c r="X12" s="17">
        <f t="shared" si="8"/>
        <v>-4.207999999999998</v>
      </c>
      <c r="Y12" s="17" t="str">
        <f>"Sum Base RHWM = "&amp;T1</f>
        <v>Sum Base RHWM = 5</v>
      </c>
      <c r="Z12" s="158">
        <f>Z10-Z11</f>
        <v>130</v>
      </c>
      <c r="AA12" s="155"/>
      <c r="AB12" s="155"/>
      <c r="AC12" s="153" t="s">
        <v>288</v>
      </c>
      <c r="AD12" s="17"/>
    </row>
    <row r="13" spans="2:30" ht="12.75">
      <c r="B13" s="14">
        <v>10055</v>
      </c>
      <c r="C13" s="15" t="s">
        <v>25</v>
      </c>
      <c r="D13" s="16">
        <v>1</v>
      </c>
      <c r="E13" s="16">
        <v>0</v>
      </c>
      <c r="F13" s="17">
        <v>0.404</v>
      </c>
      <c r="G13" s="17">
        <v>0.391</v>
      </c>
      <c r="H13" s="17">
        <v>0.39</v>
      </c>
      <c r="I13" s="17">
        <v>0</v>
      </c>
      <c r="J13" s="17">
        <v>0</v>
      </c>
      <c r="K13" s="17">
        <v>0</v>
      </c>
      <c r="L13" s="17">
        <v>0</v>
      </c>
      <c r="M13" s="17">
        <v>0.391</v>
      </c>
      <c r="N13" s="17">
        <v>0.39</v>
      </c>
      <c r="O13" s="17">
        <v>0.398</v>
      </c>
      <c r="P13" s="17">
        <f t="shared" si="2"/>
        <v>0.008000000000000007</v>
      </c>
      <c r="Q13" s="17">
        <f t="shared" si="3"/>
        <v>0.0040000000000000036</v>
      </c>
      <c r="R13" s="17">
        <f t="shared" si="4"/>
        <v>0</v>
      </c>
      <c r="S13" s="17">
        <f t="shared" si="5"/>
        <v>0</v>
      </c>
      <c r="T13" s="17">
        <f t="shared" si="6"/>
        <v>5</v>
      </c>
      <c r="U13" s="17">
        <f t="shared" si="0"/>
        <v>5</v>
      </c>
      <c r="V13" s="17">
        <f t="shared" si="1"/>
        <v>4.948235194112616</v>
      </c>
      <c r="W13" s="17">
        <f t="shared" si="7"/>
        <v>-4.5582351941126165</v>
      </c>
      <c r="X13" s="17">
        <f t="shared" si="8"/>
        <v>-0.008000000000000007</v>
      </c>
      <c r="Y13" s="17" t="str">
        <f>"Customers with RHWM = "&amp;T1</f>
        <v>Customers with RHWM = 5</v>
      </c>
      <c r="Z13" s="159">
        <f>Z12/T1</f>
        <v>26</v>
      </c>
      <c r="AA13" s="161">
        <f>COUNTIF(T4:T137,"="&amp;T1)</f>
        <v>26</v>
      </c>
      <c r="AB13" s="153" t="b">
        <f>AA13=Z13</f>
        <v>1</v>
      </c>
      <c r="AC13" s="161">
        <f>COUNTIF(U4:U137,"="&amp;T1)</f>
        <v>26</v>
      </c>
      <c r="AD13" s="17"/>
    </row>
    <row r="14" spans="2:30"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17">
        <f t="shared" si="2"/>
        <v>1.0790000000000006</v>
      </c>
      <c r="Q14" s="17">
        <f t="shared" si="3"/>
        <v>0.5395000000000003</v>
      </c>
      <c r="R14" s="17">
        <f t="shared" si="4"/>
        <v>0</v>
      </c>
      <c r="S14" s="17">
        <f t="shared" si="5"/>
        <v>0</v>
      </c>
      <c r="T14" s="17">
        <f t="shared" si="6"/>
        <v>20.5295</v>
      </c>
      <c r="U14" s="17">
        <f t="shared" si="0"/>
        <v>20.312700564537526</v>
      </c>
      <c r="V14" s="17">
        <f t="shared" si="1"/>
        <v>20.316958883506988</v>
      </c>
      <c r="W14" s="17">
        <f t="shared" si="7"/>
        <v>-0.32695888350698965</v>
      </c>
      <c r="X14" s="17">
        <f t="shared" si="8"/>
        <v>-1.0790000000000006</v>
      </c>
      <c r="Y14" s="17" t="s">
        <v>285</v>
      </c>
      <c r="Z14" s="153">
        <v>500</v>
      </c>
      <c r="AA14" s="155"/>
      <c r="AB14" s="155"/>
      <c r="AC14" s="155"/>
      <c r="AD14" s="50"/>
    </row>
    <row r="15" spans="2:30"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17">
        <f t="shared" si="2"/>
        <v>0.040000000000000036</v>
      </c>
      <c r="Q15" s="17">
        <f t="shared" si="3"/>
        <v>0.020000000000000018</v>
      </c>
      <c r="R15" s="17">
        <f t="shared" si="4"/>
        <v>0</v>
      </c>
      <c r="S15" s="17">
        <f t="shared" si="5"/>
        <v>0</v>
      </c>
      <c r="T15" s="17">
        <f t="shared" si="6"/>
        <v>7.619</v>
      </c>
      <c r="U15" s="17">
        <f t="shared" si="0"/>
        <v>7.53854042237811</v>
      </c>
      <c r="V15" s="17">
        <f t="shared" si="1"/>
        <v>7.540120788788804</v>
      </c>
      <c r="W15" s="17">
        <f t="shared" si="7"/>
        <v>0.058879211211196214</v>
      </c>
      <c r="X15" s="17">
        <f t="shared" si="8"/>
        <v>-0.040000000000000036</v>
      </c>
      <c r="Y15" s="17" t="s">
        <v>294</v>
      </c>
      <c r="Z15" s="163">
        <f>Z14*Z8</f>
        <v>493.7269942724214</v>
      </c>
      <c r="AC15" s="155"/>
      <c r="AD15" s="50"/>
    </row>
    <row r="16" spans="2:30"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17">
        <f t="shared" si="2"/>
        <v>0</v>
      </c>
      <c r="Q16" s="17">
        <f t="shared" si="3"/>
        <v>0</v>
      </c>
      <c r="R16" s="17">
        <f t="shared" si="4"/>
        <v>1.0549999999999997</v>
      </c>
      <c r="S16" s="17">
        <f t="shared" si="5"/>
        <v>0.5274999999999999</v>
      </c>
      <c r="T16" s="17">
        <f t="shared" si="6"/>
        <v>9.2745</v>
      </c>
      <c r="U16" s="17">
        <f t="shared" si="0"/>
        <v>9.176557704074785</v>
      </c>
      <c r="V16" s="17">
        <f t="shared" si="1"/>
        <v>9.178481461559493</v>
      </c>
      <c r="W16" s="17">
        <f t="shared" si="7"/>
        <v>0.6235185384405071</v>
      </c>
      <c r="X16" s="17">
        <f t="shared" si="8"/>
        <v>1.0549999999999997</v>
      </c>
      <c r="Y16" s="17" t="s">
        <v>286</v>
      </c>
      <c r="Z16" s="153">
        <f>Z10+Z15</f>
        <v>7673.16699427242</v>
      </c>
      <c r="AA16" s="155"/>
      <c r="AB16" s="155"/>
      <c r="AC16" s="155"/>
      <c r="AD16" s="50"/>
    </row>
    <row r="17" spans="2:30"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17">
        <f t="shared" si="2"/>
        <v>0</v>
      </c>
      <c r="Q17" s="17">
        <f t="shared" si="3"/>
        <v>0</v>
      </c>
      <c r="R17" s="17">
        <f t="shared" si="4"/>
        <v>1.8889999999999993</v>
      </c>
      <c r="S17" s="17">
        <f t="shared" si="5"/>
        <v>0.9444999999999997</v>
      </c>
      <c r="T17" s="17">
        <f t="shared" si="6"/>
        <v>6.2645</v>
      </c>
      <c r="U17" s="17">
        <f t="shared" si="0"/>
        <v>6.1983444646262855</v>
      </c>
      <c r="V17" s="17">
        <f t="shared" si="1"/>
        <v>6.199643874703697</v>
      </c>
      <c r="W17" s="17">
        <f t="shared" si="7"/>
        <v>1.0093561252963026</v>
      </c>
      <c r="X17" s="17">
        <f t="shared" si="8"/>
        <v>1.8889999999999993</v>
      </c>
      <c r="Y17" s="17" t="s">
        <v>287</v>
      </c>
      <c r="Z17" s="153">
        <f>7100+500*Z8</f>
        <v>7593.7269942724215</v>
      </c>
      <c r="AB17" s="155"/>
      <c r="AC17" s="155"/>
      <c r="AD17" s="50"/>
    </row>
    <row r="18" spans="2:30"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17">
        <f t="shared" si="2"/>
        <v>0</v>
      </c>
      <c r="Q18" s="17">
        <f t="shared" si="3"/>
        <v>0</v>
      </c>
      <c r="R18" s="17">
        <f t="shared" si="4"/>
        <v>3.446999999999999</v>
      </c>
      <c r="S18" s="17">
        <f t="shared" si="5"/>
        <v>1.7234999999999996</v>
      </c>
      <c r="T18" s="17">
        <f t="shared" si="6"/>
        <v>15.7875</v>
      </c>
      <c r="U18" s="17">
        <f t="shared" si="0"/>
        <v>15.620777912888098</v>
      </c>
      <c r="V18" s="17">
        <f t="shared" si="1"/>
        <v>15.624052625410586</v>
      </c>
      <c r="W18" s="17">
        <f t="shared" si="7"/>
        <v>1.886947374589413</v>
      </c>
      <c r="X18" s="17">
        <f t="shared" si="8"/>
        <v>3.446999999999999</v>
      </c>
      <c r="Y18" s="17" t="s">
        <v>293</v>
      </c>
      <c r="Z18" s="164">
        <f>1-(Z16-Z17)/(Z16-Z12)-AA18</f>
        <v>0.9894396144347172</v>
      </c>
      <c r="AA18" s="164">
        <v>2.9E-05</v>
      </c>
      <c r="AB18" s="162"/>
      <c r="AC18" s="155"/>
      <c r="AD18" s="50"/>
    </row>
    <row r="19" spans="2:30"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17">
        <f t="shared" si="2"/>
        <v>0</v>
      </c>
      <c r="Q19" s="17">
        <f t="shared" si="3"/>
        <v>0</v>
      </c>
      <c r="R19" s="17">
        <f t="shared" si="4"/>
        <v>2.149</v>
      </c>
      <c r="S19" s="17">
        <f t="shared" si="5"/>
        <v>1.0745</v>
      </c>
      <c r="T19" s="17">
        <f t="shared" si="6"/>
        <v>5</v>
      </c>
      <c r="U19" s="17">
        <f t="shared" si="0"/>
        <v>5</v>
      </c>
      <c r="V19" s="17">
        <f t="shared" si="1"/>
        <v>4.948235194112616</v>
      </c>
      <c r="W19" s="17">
        <f t="shared" si="7"/>
        <v>-0.421235194112616</v>
      </c>
      <c r="X19" s="17">
        <f t="shared" si="8"/>
        <v>2.149</v>
      </c>
      <c r="Y19" s="17" t="s">
        <v>290</v>
      </c>
      <c r="Z19" s="164">
        <f>Z17/Z16</f>
        <v>0.9896470388225233</v>
      </c>
      <c r="AA19" s="155"/>
      <c r="AB19" s="162"/>
      <c r="AC19" s="155"/>
      <c r="AD19" s="50"/>
    </row>
    <row r="20" spans="2:30"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17">
        <f t="shared" si="2"/>
        <v>0</v>
      </c>
      <c r="Q20" s="17">
        <f t="shared" si="3"/>
        <v>0</v>
      </c>
      <c r="R20" s="17">
        <f t="shared" si="4"/>
        <v>0.9450000000000003</v>
      </c>
      <c r="S20" s="17">
        <f t="shared" si="5"/>
        <v>0.47250000000000014</v>
      </c>
      <c r="T20" s="17">
        <f t="shared" si="6"/>
        <v>24.8435</v>
      </c>
      <c r="U20" s="17">
        <f t="shared" si="0"/>
        <v>24.581143061208895</v>
      </c>
      <c r="V20" s="17">
        <f t="shared" si="1"/>
        <v>24.586296208987356</v>
      </c>
      <c r="W20" s="17">
        <f t="shared" si="7"/>
        <v>0.7297037910126427</v>
      </c>
      <c r="X20" s="17">
        <f t="shared" si="8"/>
        <v>0.9450000000000003</v>
      </c>
      <c r="AA20" s="155"/>
      <c r="AB20" s="155"/>
      <c r="AC20" s="155"/>
      <c r="AD20" s="50"/>
    </row>
    <row r="21" spans="2:30"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17">
        <f t="shared" si="2"/>
        <v>0</v>
      </c>
      <c r="Q21" s="17">
        <f t="shared" si="3"/>
        <v>0</v>
      </c>
      <c r="R21" s="17">
        <f t="shared" si="4"/>
        <v>2.094000000000001</v>
      </c>
      <c r="S21" s="17">
        <f t="shared" si="5"/>
        <v>1.0470000000000006</v>
      </c>
      <c r="T21" s="17">
        <f t="shared" si="6"/>
        <v>16.864</v>
      </c>
      <c r="U21" s="17">
        <f t="shared" si="0"/>
        <v>16.68590965782707</v>
      </c>
      <c r="V21" s="17">
        <f t="shared" si="1"/>
        <v>16.689407662703033</v>
      </c>
      <c r="W21" s="17">
        <f t="shared" si="7"/>
        <v>1.2215923372969684</v>
      </c>
      <c r="X21" s="17">
        <f t="shared" si="8"/>
        <v>2.094000000000001</v>
      </c>
      <c r="Y21" s="17" t="s">
        <v>291</v>
      </c>
      <c r="Z21" s="153">
        <f>SUM(U4:U137)+Z15*Z18</f>
        <v>7593.508242429589</v>
      </c>
      <c r="AA21" s="162">
        <f>Z22-Z21</f>
        <v>0.21875184283362614</v>
      </c>
      <c r="AB21" s="155"/>
      <c r="AC21" s="155"/>
      <c r="AD21" s="50"/>
    </row>
    <row r="22" spans="2:30" ht="12.75">
      <c r="B22" s="14">
        <v>10068</v>
      </c>
      <c r="C22" s="15" t="s">
        <v>34</v>
      </c>
      <c r="D22" s="16">
        <v>1</v>
      </c>
      <c r="E22" s="16">
        <v>0</v>
      </c>
      <c r="F22" s="17">
        <v>2.811</v>
      </c>
      <c r="G22" s="17">
        <v>2.522</v>
      </c>
      <c r="H22" s="17">
        <v>2.52</v>
      </c>
      <c r="I22" s="17">
        <v>0</v>
      </c>
      <c r="J22" s="17">
        <v>0</v>
      </c>
      <c r="K22" s="17">
        <v>0</v>
      </c>
      <c r="L22" s="17">
        <v>0</v>
      </c>
      <c r="M22" s="17">
        <v>2.522</v>
      </c>
      <c r="N22" s="17">
        <v>2.52</v>
      </c>
      <c r="O22" s="17">
        <v>2.77</v>
      </c>
      <c r="P22" s="17">
        <f t="shared" si="2"/>
        <v>0.25</v>
      </c>
      <c r="Q22" s="17">
        <f t="shared" si="3"/>
        <v>0.125</v>
      </c>
      <c r="R22" s="17">
        <f t="shared" si="4"/>
        <v>0</v>
      </c>
      <c r="S22" s="17">
        <f t="shared" si="5"/>
        <v>0</v>
      </c>
      <c r="T22" s="17">
        <f t="shared" si="6"/>
        <v>5</v>
      </c>
      <c r="U22" s="17">
        <f t="shared" si="0"/>
        <v>5</v>
      </c>
      <c r="V22" s="17">
        <f t="shared" si="1"/>
        <v>4.948235194112616</v>
      </c>
      <c r="W22" s="17">
        <f t="shared" si="7"/>
        <v>-2.428235194112616</v>
      </c>
      <c r="X22" s="17">
        <f t="shared" si="8"/>
        <v>-0.25</v>
      </c>
      <c r="Y22" s="17" t="s">
        <v>292</v>
      </c>
      <c r="Z22" s="153">
        <f>SUM(V4:V137)+Z15*Z19</f>
        <v>7593.726994272422</v>
      </c>
      <c r="AB22" s="155"/>
      <c r="AC22" s="155"/>
      <c r="AD22" s="50"/>
    </row>
    <row r="23" spans="2:30"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17">
        <f t="shared" si="2"/>
        <v>0</v>
      </c>
      <c r="Q23" s="17">
        <f t="shared" si="3"/>
        <v>0</v>
      </c>
      <c r="R23" s="17">
        <f t="shared" si="4"/>
        <v>0.030000000000000027</v>
      </c>
      <c r="S23" s="17">
        <f t="shared" si="5"/>
        <v>0.015000000000000013</v>
      </c>
      <c r="T23" s="17">
        <f t="shared" si="6"/>
        <v>5</v>
      </c>
      <c r="U23" s="17">
        <f t="shared" si="0"/>
        <v>5</v>
      </c>
      <c r="V23" s="17">
        <f t="shared" si="1"/>
        <v>4.948235194112616</v>
      </c>
      <c r="W23" s="17">
        <f t="shared" si="7"/>
        <v>-4.559235194112616</v>
      </c>
      <c r="X23" s="17">
        <f t="shared" si="8"/>
        <v>0.030000000000000027</v>
      </c>
      <c r="Y23" s="17"/>
      <c r="Z23" s="155"/>
      <c r="AA23" s="155"/>
      <c r="AB23" s="155"/>
      <c r="AC23" s="155"/>
      <c r="AD23" s="50"/>
    </row>
    <row r="24" spans="2:30"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17">
        <f t="shared" si="2"/>
        <v>0.04999999999999982</v>
      </c>
      <c r="Q24" s="17">
        <f t="shared" si="3"/>
        <v>0.02499999999999991</v>
      </c>
      <c r="R24" s="17">
        <f t="shared" si="4"/>
        <v>0</v>
      </c>
      <c r="S24" s="17">
        <f t="shared" si="5"/>
        <v>0</v>
      </c>
      <c r="T24" s="17">
        <f t="shared" si="6"/>
        <v>5</v>
      </c>
      <c r="U24" s="17">
        <f t="shared" si="0"/>
        <v>5</v>
      </c>
      <c r="V24" s="17">
        <f t="shared" si="1"/>
        <v>4.948235194112616</v>
      </c>
      <c r="W24" s="17">
        <f t="shared" si="7"/>
        <v>-3.0842351941126163</v>
      </c>
      <c r="X24" s="17">
        <f t="shared" si="8"/>
        <v>-0.04999999999999982</v>
      </c>
      <c r="Y24" s="17" t="s">
        <v>297</v>
      </c>
      <c r="Z24" s="162">
        <f>SUMIF(V4:V137,"="&amp;V4,W4:W137)*-1</f>
        <v>68.68611504692802</v>
      </c>
      <c r="AA24" s="155"/>
      <c r="AB24" s="155"/>
      <c r="AC24" s="155"/>
      <c r="AD24" s="50"/>
    </row>
    <row r="25" spans="2:30"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17">
        <f t="shared" si="2"/>
        <v>0</v>
      </c>
      <c r="Q25" s="17">
        <f t="shared" si="3"/>
        <v>0</v>
      </c>
      <c r="R25" s="17">
        <f t="shared" si="4"/>
        <v>1.7149999999999999</v>
      </c>
      <c r="S25" s="17">
        <f t="shared" si="5"/>
        <v>0.8574999999999999</v>
      </c>
      <c r="T25" s="17">
        <f t="shared" si="6"/>
        <v>24.8395</v>
      </c>
      <c r="U25" s="17">
        <f t="shared" si="0"/>
        <v>24.577185302751158</v>
      </c>
      <c r="V25" s="17">
        <f t="shared" si="1"/>
        <v>24.582337620832067</v>
      </c>
      <c r="W25" s="17">
        <f t="shared" si="7"/>
        <v>1.1146623791679318</v>
      </c>
      <c r="X25" s="17">
        <f t="shared" si="8"/>
        <v>1.7149999999999999</v>
      </c>
      <c r="Y25" s="17"/>
      <c r="Z25" s="155"/>
      <c r="AA25" s="155"/>
      <c r="AB25" s="155"/>
      <c r="AC25" s="155"/>
      <c r="AD25" s="50"/>
    </row>
    <row r="26" spans="2:30"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17">
        <f t="shared" si="2"/>
        <v>0</v>
      </c>
      <c r="Q26" s="17">
        <f t="shared" si="3"/>
        <v>0</v>
      </c>
      <c r="R26" s="17">
        <f t="shared" si="4"/>
        <v>2.897000000000002</v>
      </c>
      <c r="S26" s="17">
        <f t="shared" si="5"/>
        <v>1.448500000000001</v>
      </c>
      <c r="T26" s="17">
        <f t="shared" si="6"/>
        <v>28.130499999999998</v>
      </c>
      <c r="U26" s="17">
        <f t="shared" si="0"/>
        <v>27.83343107385581</v>
      </c>
      <c r="V26" s="17">
        <f t="shared" si="1"/>
        <v>27.839266025596988</v>
      </c>
      <c r="W26" s="17">
        <f t="shared" si="7"/>
        <v>1.7397339744030127</v>
      </c>
      <c r="X26" s="17">
        <f t="shared" si="8"/>
        <v>2.897000000000002</v>
      </c>
      <c r="Y26" s="17"/>
      <c r="Z26" s="155"/>
      <c r="AA26" s="155"/>
      <c r="AB26" s="155"/>
      <c r="AC26" s="155"/>
      <c r="AD26" s="50"/>
    </row>
    <row r="27" spans="2:30"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17">
        <f t="shared" si="2"/>
        <v>0</v>
      </c>
      <c r="Q27" s="17">
        <f t="shared" si="3"/>
        <v>0</v>
      </c>
      <c r="R27" s="17">
        <f t="shared" si="4"/>
        <v>3.3149999999999995</v>
      </c>
      <c r="S27" s="17">
        <f t="shared" si="5"/>
        <v>1.6574999999999998</v>
      </c>
      <c r="T27" s="17">
        <f t="shared" si="6"/>
        <v>6.4745</v>
      </c>
      <c r="U27" s="17">
        <f t="shared" si="0"/>
        <v>6.406126783657577</v>
      </c>
      <c r="V27" s="17">
        <f t="shared" si="1"/>
        <v>6.407469752856427</v>
      </c>
      <c r="W27" s="17">
        <f t="shared" si="7"/>
        <v>1.7245302471435728</v>
      </c>
      <c r="X27" s="17">
        <f t="shared" si="8"/>
        <v>3.3149999999999995</v>
      </c>
      <c r="Y27" s="17"/>
      <c r="Z27" s="155"/>
      <c r="AA27" s="155"/>
      <c r="AB27" s="155"/>
      <c r="AC27" s="155"/>
      <c r="AD27" s="50"/>
    </row>
    <row r="28" spans="2:30"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17">
        <f t="shared" si="2"/>
        <v>0</v>
      </c>
      <c r="Q28" s="17">
        <f t="shared" si="3"/>
        <v>0</v>
      </c>
      <c r="R28" s="17">
        <f t="shared" si="4"/>
        <v>1.0910000000000002</v>
      </c>
      <c r="S28" s="17">
        <f t="shared" si="5"/>
        <v>0.5455000000000001</v>
      </c>
      <c r="T28" s="17">
        <f t="shared" si="6"/>
        <v>5</v>
      </c>
      <c r="U28" s="17">
        <f t="shared" si="0"/>
        <v>5</v>
      </c>
      <c r="V28" s="17">
        <f t="shared" si="1"/>
        <v>4.948235194112616</v>
      </c>
      <c r="W28" s="17">
        <f t="shared" si="7"/>
        <v>-0.13923519411261598</v>
      </c>
      <c r="X28" s="17">
        <f t="shared" si="8"/>
        <v>1.0910000000000002</v>
      </c>
      <c r="Y28" s="17"/>
      <c r="Z28" s="155"/>
      <c r="AA28" s="155"/>
      <c r="AB28" s="155"/>
      <c r="AC28" s="155"/>
      <c r="AD28" s="50"/>
    </row>
    <row r="29" spans="2:30"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17">
        <f t="shared" si="2"/>
        <v>5.602000000000004</v>
      </c>
      <c r="Q29" s="17">
        <f t="shared" si="3"/>
        <v>2.801000000000002</v>
      </c>
      <c r="R29" s="17">
        <f t="shared" si="4"/>
        <v>0</v>
      </c>
      <c r="S29" s="17">
        <f t="shared" si="5"/>
        <v>0</v>
      </c>
      <c r="T29" s="17">
        <f t="shared" si="6"/>
        <v>85.378</v>
      </c>
      <c r="U29" s="17">
        <f t="shared" si="0"/>
        <v>84.47637540120728</v>
      </c>
      <c r="V29" s="17">
        <f t="shared" si="1"/>
        <v>84.49408488058938</v>
      </c>
      <c r="W29" s="17">
        <f t="shared" si="7"/>
        <v>-1.9170848805893854</v>
      </c>
      <c r="X29" s="17">
        <f t="shared" si="8"/>
        <v>-5.602000000000004</v>
      </c>
      <c r="Y29" s="17"/>
      <c r="Z29" s="155"/>
      <c r="AA29" s="155"/>
      <c r="AB29" s="155"/>
      <c r="AC29" s="155"/>
      <c r="AD29" s="50"/>
    </row>
    <row r="30" spans="2:30" ht="12.75">
      <c r="B30" s="14">
        <v>10080</v>
      </c>
      <c r="C30" s="15" t="s">
        <v>42</v>
      </c>
      <c r="D30" s="16">
        <v>1</v>
      </c>
      <c r="E30" s="16">
        <v>0</v>
      </c>
      <c r="F30" s="17">
        <v>7.548</v>
      </c>
      <c r="G30" s="17">
        <v>6.608</v>
      </c>
      <c r="H30" s="17">
        <v>6.61</v>
      </c>
      <c r="I30" s="17">
        <v>0</v>
      </c>
      <c r="J30" s="17">
        <v>0</v>
      </c>
      <c r="K30" s="17">
        <v>0</v>
      </c>
      <c r="L30" s="17">
        <v>0</v>
      </c>
      <c r="M30" s="17">
        <v>6.608</v>
      </c>
      <c r="N30" s="17">
        <v>6.61</v>
      </c>
      <c r="O30" s="17">
        <v>7.437</v>
      </c>
      <c r="P30" s="17">
        <f t="shared" si="2"/>
        <v>0.827</v>
      </c>
      <c r="Q30" s="17">
        <f t="shared" si="3"/>
        <v>0.4135</v>
      </c>
      <c r="R30" s="17">
        <f t="shared" si="4"/>
        <v>0</v>
      </c>
      <c r="S30" s="17">
        <f t="shared" si="5"/>
        <v>0</v>
      </c>
      <c r="T30" s="17">
        <f t="shared" si="6"/>
        <v>7.0235</v>
      </c>
      <c r="U30" s="17">
        <f t="shared" si="0"/>
        <v>6.949329131982236</v>
      </c>
      <c r="V30" s="17">
        <f t="shared" si="1"/>
        <v>6.950785977169993</v>
      </c>
      <c r="W30" s="17">
        <f t="shared" si="7"/>
        <v>-0.34078597716999237</v>
      </c>
      <c r="X30" s="17">
        <f t="shared" si="8"/>
        <v>-0.827</v>
      </c>
      <c r="Y30" s="17"/>
      <c r="Z30" s="155"/>
      <c r="AA30" s="155"/>
      <c r="AB30" s="155"/>
      <c r="AC30" s="155"/>
      <c r="AD30" s="50"/>
    </row>
    <row r="31" spans="2:30"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17">
        <f t="shared" si="2"/>
        <v>1.3439999999999994</v>
      </c>
      <c r="Q31" s="17">
        <f t="shared" si="3"/>
        <v>0.6719999999999997</v>
      </c>
      <c r="R31" s="17">
        <f t="shared" si="4"/>
        <v>0</v>
      </c>
      <c r="S31" s="17">
        <f t="shared" si="5"/>
        <v>0</v>
      </c>
      <c r="T31" s="17">
        <f t="shared" si="6"/>
        <v>9.783000000000001</v>
      </c>
      <c r="U31" s="17">
        <f t="shared" si="0"/>
        <v>9.679687748014839</v>
      </c>
      <c r="V31" s="17">
        <f t="shared" si="1"/>
        <v>9.681716980800747</v>
      </c>
      <c r="W31" s="17">
        <f t="shared" si="7"/>
        <v>-0.5707169808007464</v>
      </c>
      <c r="X31" s="17">
        <f t="shared" si="8"/>
        <v>-1.3439999999999994</v>
      </c>
      <c r="Y31" s="17"/>
      <c r="Z31" s="155"/>
      <c r="AA31" s="155"/>
      <c r="AB31" s="155"/>
      <c r="AC31" s="155"/>
      <c r="AD31" s="50"/>
    </row>
    <row r="32" spans="2:30" ht="12.75">
      <c r="B32" s="14">
        <v>10082</v>
      </c>
      <c r="C32" s="15" t="s">
        <v>44</v>
      </c>
      <c r="D32" s="16">
        <v>1</v>
      </c>
      <c r="E32" s="16">
        <v>0</v>
      </c>
      <c r="F32" s="17">
        <v>0.12</v>
      </c>
      <c r="G32" s="17">
        <v>0.099</v>
      </c>
      <c r="H32" s="17">
        <v>0.099</v>
      </c>
      <c r="I32" s="17">
        <v>0</v>
      </c>
      <c r="J32" s="17">
        <v>0</v>
      </c>
      <c r="K32" s="17">
        <v>0</v>
      </c>
      <c r="L32" s="17">
        <v>0</v>
      </c>
      <c r="M32" s="17">
        <v>0.099</v>
      </c>
      <c r="N32" s="17">
        <v>0.099</v>
      </c>
      <c r="O32" s="17">
        <v>0.118</v>
      </c>
      <c r="P32" s="17">
        <f t="shared" si="2"/>
        <v>0.01899999999999999</v>
      </c>
      <c r="Q32" s="17">
        <f t="shared" si="3"/>
        <v>0.009499999999999995</v>
      </c>
      <c r="R32" s="17">
        <f t="shared" si="4"/>
        <v>0</v>
      </c>
      <c r="S32" s="17">
        <f t="shared" si="5"/>
        <v>0</v>
      </c>
      <c r="T32" s="17">
        <f t="shared" si="6"/>
        <v>5</v>
      </c>
      <c r="U32" s="17">
        <f t="shared" si="0"/>
        <v>5</v>
      </c>
      <c r="V32" s="17">
        <f t="shared" si="1"/>
        <v>4.948235194112616</v>
      </c>
      <c r="W32" s="17">
        <f t="shared" si="7"/>
        <v>-4.849235194112616</v>
      </c>
      <c r="X32" s="17">
        <f t="shared" si="8"/>
        <v>-0.01899999999999999</v>
      </c>
      <c r="Y32" s="17"/>
      <c r="Z32" s="155"/>
      <c r="AA32" s="155"/>
      <c r="AB32" s="155"/>
      <c r="AC32" s="155"/>
      <c r="AD32" s="50"/>
    </row>
    <row r="33" spans="2:30"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17">
        <f t="shared" si="2"/>
        <v>0</v>
      </c>
      <c r="Q33" s="17">
        <f t="shared" si="3"/>
        <v>0</v>
      </c>
      <c r="R33" s="17">
        <f t="shared" si="4"/>
        <v>0.37900000000000134</v>
      </c>
      <c r="S33" s="17">
        <f t="shared" si="5"/>
        <v>0.18950000000000067</v>
      </c>
      <c r="T33" s="17">
        <f t="shared" si="6"/>
        <v>8.5525</v>
      </c>
      <c r="U33" s="17">
        <f t="shared" si="0"/>
        <v>8.462182302452918</v>
      </c>
      <c r="V33" s="17">
        <f t="shared" si="1"/>
        <v>8.463956299529631</v>
      </c>
      <c r="W33" s="17">
        <f t="shared" si="7"/>
        <v>0.27804370047036997</v>
      </c>
      <c r="X33" s="17">
        <f t="shared" si="8"/>
        <v>0.37900000000000134</v>
      </c>
      <c r="Y33" s="17"/>
      <c r="Z33" s="155"/>
      <c r="AA33" s="155"/>
      <c r="AB33" s="155"/>
      <c r="AC33" s="155"/>
      <c r="AD33" s="50"/>
    </row>
    <row r="34" spans="2:30"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17">
        <f t="shared" si="2"/>
        <v>0.07099999999999973</v>
      </c>
      <c r="Q34" s="17">
        <f t="shared" si="3"/>
        <v>0.035499999999999865</v>
      </c>
      <c r="R34" s="17">
        <f t="shared" si="4"/>
        <v>0</v>
      </c>
      <c r="S34" s="17">
        <f t="shared" si="5"/>
        <v>0</v>
      </c>
      <c r="T34" s="17">
        <f t="shared" si="6"/>
        <v>5</v>
      </c>
      <c r="U34" s="17">
        <f t="shared" si="0"/>
        <v>5</v>
      </c>
      <c r="V34" s="17">
        <f t="shared" si="1"/>
        <v>4.948235194112616</v>
      </c>
      <c r="W34" s="17">
        <f t="shared" si="7"/>
        <v>-1.074235194112616</v>
      </c>
      <c r="X34" s="17">
        <f t="shared" si="8"/>
        <v>-0.07099999999999973</v>
      </c>
      <c r="Y34" s="17"/>
      <c r="Z34" s="155"/>
      <c r="AA34" s="155"/>
      <c r="AB34" s="155"/>
      <c r="AC34" s="155"/>
      <c r="AD34" s="50"/>
    </row>
    <row r="35" spans="2:30"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17">
        <f t="shared" si="2"/>
        <v>38.719</v>
      </c>
      <c r="Q35" s="17">
        <f t="shared" si="3"/>
        <v>19.3595</v>
      </c>
      <c r="R35" s="17">
        <f t="shared" si="4"/>
        <v>0</v>
      </c>
      <c r="S35" s="17">
        <f t="shared" si="5"/>
        <v>0</v>
      </c>
      <c r="T35" s="17">
        <f t="shared" si="6"/>
        <v>66.1205</v>
      </c>
      <c r="U35" s="17">
        <f t="shared" si="0"/>
        <v>65.42224202623072</v>
      </c>
      <c r="V35" s="17">
        <f t="shared" si="1"/>
        <v>65.43595703046465</v>
      </c>
      <c r="W35" s="17">
        <f t="shared" si="7"/>
        <v>-18.674957030464647</v>
      </c>
      <c r="X35" s="17">
        <f t="shared" si="8"/>
        <v>-38.719</v>
      </c>
      <c r="Y35" s="17"/>
      <c r="Z35" s="155"/>
      <c r="AA35" s="155"/>
      <c r="AB35" s="155"/>
      <c r="AC35" s="155"/>
      <c r="AD35" s="50"/>
    </row>
    <row r="36" spans="2:30"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17">
        <f t="shared" si="2"/>
        <v>0</v>
      </c>
      <c r="Q36" s="17">
        <f t="shared" si="3"/>
        <v>0</v>
      </c>
      <c r="R36" s="17">
        <f t="shared" si="4"/>
        <v>8.082000000000008</v>
      </c>
      <c r="S36" s="17">
        <f t="shared" si="5"/>
        <v>4.041000000000004</v>
      </c>
      <c r="T36" s="17">
        <f t="shared" si="6"/>
        <v>108.25399999999999</v>
      </c>
      <c r="U36" s="17">
        <f aca="true" t="shared" si="9" ref="U36:U67">MAX(T36*$Z$18,$T$1)</f>
        <v>107.11079602101586</v>
      </c>
      <c r="V36" s="17">
        <f aca="true" t="shared" si="10" ref="V36:V67">T36*$Z$19</f>
        <v>107.13325054069342</v>
      </c>
      <c r="W36" s="17">
        <f t="shared" si="7"/>
        <v>5.161749459306577</v>
      </c>
      <c r="X36" s="17">
        <f t="shared" si="8"/>
        <v>8.082000000000008</v>
      </c>
      <c r="Y36" s="17"/>
      <c r="Z36" s="155"/>
      <c r="AA36" s="155"/>
      <c r="AB36" s="155"/>
      <c r="AC36" s="155"/>
      <c r="AD36" s="50"/>
    </row>
    <row r="37" spans="2:30"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17">
        <f t="shared" si="2"/>
        <v>0.3930000000000007</v>
      </c>
      <c r="Q37" s="17">
        <f t="shared" si="3"/>
        <v>0.19650000000000034</v>
      </c>
      <c r="R37" s="17">
        <f t="shared" si="4"/>
        <v>0</v>
      </c>
      <c r="S37" s="17">
        <f t="shared" si="5"/>
        <v>0</v>
      </c>
      <c r="T37" s="17">
        <f t="shared" si="6"/>
        <v>9.2255</v>
      </c>
      <c r="U37" s="17">
        <f t="shared" si="9"/>
        <v>9.128075162967484</v>
      </c>
      <c r="V37" s="17">
        <f t="shared" si="10"/>
        <v>9.12998875665719</v>
      </c>
      <c r="W37" s="17">
        <f t="shared" si="7"/>
        <v>-0.10098875665718943</v>
      </c>
      <c r="X37" s="17">
        <f t="shared" si="8"/>
        <v>-0.3930000000000007</v>
      </c>
      <c r="Y37" s="17"/>
      <c r="Z37" s="155"/>
      <c r="AA37" s="155"/>
      <c r="AB37" s="155"/>
      <c r="AC37" s="155"/>
      <c r="AD37" s="50"/>
    </row>
    <row r="38" spans="2:30"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17">
        <f t="shared" si="2"/>
        <v>0.005999999999999783</v>
      </c>
      <c r="Q38" s="17">
        <f t="shared" si="3"/>
        <v>0.0029999999999998916</v>
      </c>
      <c r="R38" s="17">
        <f t="shared" si="4"/>
        <v>0</v>
      </c>
      <c r="S38" s="17">
        <f t="shared" si="5"/>
        <v>0</v>
      </c>
      <c r="T38" s="17">
        <f t="shared" si="6"/>
        <v>5</v>
      </c>
      <c r="U38" s="17">
        <f t="shared" si="9"/>
        <v>5</v>
      </c>
      <c r="V38" s="17">
        <f t="shared" si="10"/>
        <v>4.948235194112616</v>
      </c>
      <c r="W38" s="17">
        <f t="shared" si="7"/>
        <v>-1.917235194112616</v>
      </c>
      <c r="X38" s="17">
        <f t="shared" si="8"/>
        <v>-0.005999999999999783</v>
      </c>
      <c r="Y38" s="17"/>
      <c r="Z38" s="155"/>
      <c r="AA38" s="155"/>
      <c r="AB38" s="155"/>
      <c r="AC38" s="155"/>
      <c r="AD38" s="50"/>
    </row>
    <row r="39" spans="2:30"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17">
        <f t="shared" si="2"/>
        <v>0</v>
      </c>
      <c r="Q39" s="17">
        <f t="shared" si="3"/>
        <v>0</v>
      </c>
      <c r="R39" s="17">
        <f t="shared" si="4"/>
        <v>0.18500000000000005</v>
      </c>
      <c r="S39" s="17">
        <f t="shared" si="5"/>
        <v>0.09250000000000003</v>
      </c>
      <c r="T39" s="17">
        <f t="shared" si="6"/>
        <v>5</v>
      </c>
      <c r="U39" s="17">
        <f t="shared" si="9"/>
        <v>5</v>
      </c>
      <c r="V39" s="17">
        <f t="shared" si="10"/>
        <v>4.948235194112616</v>
      </c>
      <c r="W39" s="17">
        <f t="shared" si="7"/>
        <v>-1.1202351941126163</v>
      </c>
      <c r="X39" s="17">
        <f t="shared" si="8"/>
        <v>0.18500000000000005</v>
      </c>
      <c r="Y39" s="17"/>
      <c r="Z39" s="155"/>
      <c r="AA39" s="155"/>
      <c r="AB39" s="155"/>
      <c r="AC39" s="155"/>
      <c r="AD39" s="50"/>
    </row>
    <row r="40" spans="2:30" ht="12.75">
      <c r="B40" s="14">
        <v>10097</v>
      </c>
      <c r="C40" s="15" t="s">
        <v>52</v>
      </c>
      <c r="D40" s="16">
        <v>1</v>
      </c>
      <c r="E40" s="16">
        <v>0</v>
      </c>
      <c r="F40" s="17">
        <v>2.068</v>
      </c>
      <c r="G40" s="17">
        <v>1.997</v>
      </c>
      <c r="H40" s="17">
        <v>2</v>
      </c>
      <c r="I40" s="17">
        <v>0</v>
      </c>
      <c r="J40" s="17">
        <v>0</v>
      </c>
      <c r="K40" s="17">
        <v>0</v>
      </c>
      <c r="L40" s="17">
        <v>0</v>
      </c>
      <c r="M40" s="17">
        <v>1.997</v>
      </c>
      <c r="N40" s="17">
        <v>2</v>
      </c>
      <c r="O40" s="17">
        <v>2.038</v>
      </c>
      <c r="P40" s="17">
        <f t="shared" si="2"/>
        <v>0.03799999999999981</v>
      </c>
      <c r="Q40" s="17">
        <f t="shared" si="3"/>
        <v>0.018999999999999906</v>
      </c>
      <c r="R40" s="17">
        <f t="shared" si="4"/>
        <v>0</v>
      </c>
      <c r="S40" s="17">
        <f t="shared" si="5"/>
        <v>0</v>
      </c>
      <c r="T40" s="17">
        <f t="shared" si="6"/>
        <v>5</v>
      </c>
      <c r="U40" s="17">
        <f t="shared" si="9"/>
        <v>5</v>
      </c>
      <c r="V40" s="17">
        <f t="shared" si="10"/>
        <v>4.948235194112616</v>
      </c>
      <c r="W40" s="17">
        <f t="shared" si="7"/>
        <v>-2.948235194112616</v>
      </c>
      <c r="X40" s="17">
        <f t="shared" si="8"/>
        <v>-0.03799999999999981</v>
      </c>
      <c r="Y40" s="17"/>
      <c r="Z40" s="155"/>
      <c r="AA40" s="155"/>
      <c r="AB40" s="155"/>
      <c r="AC40" s="155"/>
      <c r="AD40" s="50"/>
    </row>
    <row r="41" spans="2:30"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17">
        <f t="shared" si="2"/>
        <v>0</v>
      </c>
      <c r="Q41" s="17">
        <f t="shared" si="3"/>
        <v>0</v>
      </c>
      <c r="R41" s="17">
        <f t="shared" si="4"/>
        <v>1.4439999999999884</v>
      </c>
      <c r="S41" s="17">
        <f t="shared" si="5"/>
        <v>0.7219999999999942</v>
      </c>
      <c r="T41" s="17">
        <f t="shared" si="6"/>
        <v>76.75</v>
      </c>
      <c r="U41" s="17">
        <f t="shared" si="9"/>
        <v>75.93949040786454</v>
      </c>
      <c r="V41" s="17">
        <f t="shared" si="10"/>
        <v>75.95541022962865</v>
      </c>
      <c r="W41" s="17">
        <f t="shared" si="7"/>
        <v>1.5165897703713398</v>
      </c>
      <c r="X41" s="17">
        <f t="shared" si="8"/>
        <v>1.4439999999999884</v>
      </c>
      <c r="Y41" s="17"/>
      <c r="Z41" s="155"/>
      <c r="AA41" s="155"/>
      <c r="AB41" s="155"/>
      <c r="AC41" s="155"/>
      <c r="AD41" s="50"/>
    </row>
    <row r="42" spans="2:30"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17">
        <f t="shared" si="2"/>
        <v>0</v>
      </c>
      <c r="Q42" s="17">
        <f t="shared" si="3"/>
        <v>0</v>
      </c>
      <c r="R42" s="17">
        <f t="shared" si="4"/>
        <v>9.264999999999986</v>
      </c>
      <c r="S42" s="17">
        <f t="shared" si="5"/>
        <v>4.632499999999993</v>
      </c>
      <c r="T42" s="17">
        <f t="shared" si="6"/>
        <v>323.1265</v>
      </c>
      <c r="U42" s="17">
        <f t="shared" si="9"/>
        <v>319.7141595736397</v>
      </c>
      <c r="V42" s="17">
        <f t="shared" si="10"/>
        <v>319.7811838900861</v>
      </c>
      <c r="W42" s="17">
        <f t="shared" si="7"/>
        <v>7.977816109913931</v>
      </c>
      <c r="X42" s="17">
        <f t="shared" si="8"/>
        <v>9.264999999999986</v>
      </c>
      <c r="Y42" s="17"/>
      <c r="Z42" s="155"/>
      <c r="AA42" s="155"/>
      <c r="AB42" s="155"/>
      <c r="AC42" s="155"/>
      <c r="AD42" s="50"/>
    </row>
    <row r="43" spans="2:30"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17">
        <f t="shared" si="2"/>
        <v>10.205999999999989</v>
      </c>
      <c r="Q43" s="17">
        <f t="shared" si="3"/>
        <v>5.102999999999994</v>
      </c>
      <c r="R43" s="17">
        <f t="shared" si="4"/>
        <v>0</v>
      </c>
      <c r="S43" s="17">
        <f t="shared" si="5"/>
        <v>0</v>
      </c>
      <c r="T43" s="17">
        <f t="shared" si="6"/>
        <v>87.735</v>
      </c>
      <c r="U43" s="17">
        <f t="shared" si="9"/>
        <v>86.8084845724299</v>
      </c>
      <c r="V43" s="17">
        <f t="shared" si="10"/>
        <v>86.82668295109407</v>
      </c>
      <c r="W43" s="17">
        <f t="shared" si="7"/>
        <v>-4.194682951094066</v>
      </c>
      <c r="X43" s="17">
        <f t="shared" si="8"/>
        <v>-10.205999999999989</v>
      </c>
      <c r="Y43" s="17"/>
      <c r="Z43" s="155"/>
      <c r="AA43" s="155"/>
      <c r="AB43" s="155"/>
      <c r="AC43" s="155"/>
      <c r="AD43" s="50"/>
    </row>
    <row r="44" spans="2:30"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17">
        <f t="shared" si="2"/>
        <v>0</v>
      </c>
      <c r="Q44" s="17">
        <f t="shared" si="3"/>
        <v>0</v>
      </c>
      <c r="R44" s="17">
        <f t="shared" si="4"/>
        <v>0.3559999999999981</v>
      </c>
      <c r="S44" s="17">
        <f t="shared" si="5"/>
        <v>0.17799999999999905</v>
      </c>
      <c r="T44" s="17">
        <f t="shared" si="6"/>
        <v>24.057000000000002</v>
      </c>
      <c r="U44" s="17">
        <f t="shared" si="9"/>
        <v>23.802948804455994</v>
      </c>
      <c r="V44" s="17">
        <f t="shared" si="10"/>
        <v>23.807938812953445</v>
      </c>
      <c r="W44" s="17">
        <f t="shared" si="7"/>
        <v>0.4270611870465544</v>
      </c>
      <c r="X44" s="17">
        <f t="shared" si="8"/>
        <v>0.3559999999999981</v>
      </c>
      <c r="Y44" s="17"/>
      <c r="Z44" s="155"/>
      <c r="AA44" s="155"/>
      <c r="AB44" s="155"/>
      <c r="AC44" s="155"/>
      <c r="AD44" s="50"/>
    </row>
    <row r="45" spans="2:30"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17">
        <f t="shared" si="2"/>
        <v>0</v>
      </c>
      <c r="Q45" s="17">
        <f t="shared" si="3"/>
        <v>0</v>
      </c>
      <c r="R45" s="17">
        <f t="shared" si="4"/>
        <v>2.888</v>
      </c>
      <c r="S45" s="17">
        <f t="shared" si="5"/>
        <v>1.444</v>
      </c>
      <c r="T45" s="17">
        <f t="shared" si="6"/>
        <v>13.562000000000001</v>
      </c>
      <c r="U45" s="17">
        <f t="shared" si="9"/>
        <v>13.418780050963635</v>
      </c>
      <c r="V45" s="17">
        <f t="shared" si="10"/>
        <v>13.421593140511062</v>
      </c>
      <c r="W45" s="17">
        <f t="shared" si="7"/>
        <v>1.5844068594889382</v>
      </c>
      <c r="X45" s="17">
        <f t="shared" si="8"/>
        <v>2.888</v>
      </c>
      <c r="Y45" s="17"/>
      <c r="Z45" s="155"/>
      <c r="AA45" s="155"/>
      <c r="AB45" s="155"/>
      <c r="AC45" s="155"/>
      <c r="AD45" s="50"/>
    </row>
    <row r="46" spans="2:30" ht="12.75">
      <c r="B46" s="14">
        <v>10111</v>
      </c>
      <c r="C46" s="15" t="s">
        <v>58</v>
      </c>
      <c r="D46" s="16">
        <v>1</v>
      </c>
      <c r="E46" s="16">
        <v>0</v>
      </c>
      <c r="F46" s="17">
        <v>3.283</v>
      </c>
      <c r="G46" s="17">
        <v>3.137</v>
      </c>
      <c r="H46" s="17">
        <v>3.14</v>
      </c>
      <c r="I46" s="17">
        <v>0</v>
      </c>
      <c r="J46" s="17">
        <v>0</v>
      </c>
      <c r="K46" s="17">
        <v>0</v>
      </c>
      <c r="L46" s="17">
        <v>0</v>
      </c>
      <c r="M46" s="17">
        <v>3.137</v>
      </c>
      <c r="N46" s="17">
        <v>3.14</v>
      </c>
      <c r="O46" s="17">
        <v>3.235</v>
      </c>
      <c r="P46" s="17">
        <f t="shared" si="2"/>
        <v>0.09499999999999975</v>
      </c>
      <c r="Q46" s="17">
        <f t="shared" si="3"/>
        <v>0.047499999999999876</v>
      </c>
      <c r="R46" s="17">
        <f t="shared" si="4"/>
        <v>0</v>
      </c>
      <c r="S46" s="17">
        <f t="shared" si="5"/>
        <v>0</v>
      </c>
      <c r="T46" s="17">
        <f t="shared" si="6"/>
        <v>5</v>
      </c>
      <c r="U46" s="17">
        <f t="shared" si="9"/>
        <v>5</v>
      </c>
      <c r="V46" s="17">
        <f t="shared" si="10"/>
        <v>4.948235194112616</v>
      </c>
      <c r="W46" s="17">
        <f t="shared" si="7"/>
        <v>-1.808235194112616</v>
      </c>
      <c r="X46" s="17">
        <f t="shared" si="8"/>
        <v>-0.09499999999999975</v>
      </c>
      <c r="Y46" s="17"/>
      <c r="Z46" s="155"/>
      <c r="AA46" s="155"/>
      <c r="AB46" s="155"/>
      <c r="AC46" s="155"/>
      <c r="AD46" s="50"/>
    </row>
    <row r="47" spans="2:30"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17">
        <f t="shared" si="2"/>
        <v>0</v>
      </c>
      <c r="Q47" s="17">
        <f t="shared" si="3"/>
        <v>0</v>
      </c>
      <c r="R47" s="17">
        <f t="shared" si="4"/>
        <v>0.9949999999999974</v>
      </c>
      <c r="S47" s="17">
        <f t="shared" si="5"/>
        <v>0.4974999999999987</v>
      </c>
      <c r="T47" s="17">
        <f t="shared" si="6"/>
        <v>58.7475</v>
      </c>
      <c r="U47" s="17">
        <f t="shared" si="9"/>
        <v>58.12710374900355</v>
      </c>
      <c r="V47" s="17">
        <f t="shared" si="10"/>
        <v>58.13928941322619</v>
      </c>
      <c r="W47" s="17">
        <f t="shared" si="7"/>
        <v>1.1057105867738102</v>
      </c>
      <c r="X47" s="17">
        <f t="shared" si="8"/>
        <v>0.9949999999999974</v>
      </c>
      <c r="Y47" s="17"/>
      <c r="Z47" s="155"/>
      <c r="AA47" s="155"/>
      <c r="AB47" s="155"/>
      <c r="AC47" s="155"/>
      <c r="AD47" s="50"/>
    </row>
    <row r="48" spans="2:30"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17">
        <f t="shared" si="2"/>
        <v>0</v>
      </c>
      <c r="Q48" s="17">
        <f t="shared" si="3"/>
        <v>0</v>
      </c>
      <c r="R48" s="17">
        <f t="shared" si="4"/>
        <v>6.344000000000001</v>
      </c>
      <c r="S48" s="17">
        <f t="shared" si="5"/>
        <v>3.1720000000000006</v>
      </c>
      <c r="T48" s="17">
        <f t="shared" si="6"/>
        <v>40.864999999999995</v>
      </c>
      <c r="U48" s="17">
        <f t="shared" si="9"/>
        <v>40.43344984387471</v>
      </c>
      <c r="V48" s="17">
        <f t="shared" si="10"/>
        <v>40.441926241482406</v>
      </c>
      <c r="W48" s="17">
        <f t="shared" si="7"/>
        <v>3.595073758517593</v>
      </c>
      <c r="X48" s="17">
        <f t="shared" si="8"/>
        <v>6.344000000000001</v>
      </c>
      <c r="Y48" s="17"/>
      <c r="Z48" s="155"/>
      <c r="AA48" s="155"/>
      <c r="AB48" s="155"/>
      <c r="AC48" s="155"/>
      <c r="AD48" s="50"/>
    </row>
    <row r="49" spans="2:30"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17">
        <f t="shared" si="2"/>
        <v>0</v>
      </c>
      <c r="Q49" s="17">
        <f t="shared" si="3"/>
        <v>0</v>
      </c>
      <c r="R49" s="17">
        <f t="shared" si="4"/>
        <v>0.0040000000000000036</v>
      </c>
      <c r="S49" s="17">
        <f t="shared" si="5"/>
        <v>0.0020000000000000018</v>
      </c>
      <c r="T49" s="17">
        <f t="shared" si="6"/>
        <v>5</v>
      </c>
      <c r="U49" s="17">
        <f t="shared" si="9"/>
        <v>5</v>
      </c>
      <c r="V49" s="17">
        <f t="shared" si="10"/>
        <v>4.948235194112616</v>
      </c>
      <c r="W49" s="17">
        <f t="shared" si="7"/>
        <v>-4.716235194112616</v>
      </c>
      <c r="X49" s="17">
        <f t="shared" si="8"/>
        <v>0.0040000000000000036</v>
      </c>
      <c r="Y49" s="17"/>
      <c r="Z49" s="155"/>
      <c r="AA49" s="155"/>
      <c r="AB49" s="155"/>
      <c r="AC49" s="155"/>
      <c r="AD49" s="50"/>
    </row>
    <row r="50" spans="2:30"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17">
        <f t="shared" si="2"/>
        <v>0</v>
      </c>
      <c r="Q50" s="17">
        <f t="shared" si="3"/>
        <v>0</v>
      </c>
      <c r="R50" s="17">
        <f t="shared" si="4"/>
        <v>3.9309999999999974</v>
      </c>
      <c r="S50" s="17">
        <f t="shared" si="5"/>
        <v>1.9654999999999987</v>
      </c>
      <c r="T50" s="17">
        <f t="shared" si="6"/>
        <v>47.6395</v>
      </c>
      <c r="U50" s="17">
        <f t="shared" si="9"/>
        <v>47.136408511862705</v>
      </c>
      <c r="V50" s="17">
        <f t="shared" si="10"/>
        <v>47.14629010598559</v>
      </c>
      <c r="W50" s="17">
        <f t="shared" si="7"/>
        <v>2.4587098940144045</v>
      </c>
      <c r="X50" s="17">
        <f t="shared" si="8"/>
        <v>3.9309999999999974</v>
      </c>
      <c r="Y50" s="17"/>
      <c r="Z50" s="155"/>
      <c r="AA50" s="155"/>
      <c r="AB50" s="155"/>
      <c r="AC50" s="155"/>
      <c r="AD50" s="50"/>
    </row>
    <row r="51" spans="2:30"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17">
        <f t="shared" si="2"/>
        <v>1.4050000000000011</v>
      </c>
      <c r="Q51" s="17">
        <f t="shared" si="3"/>
        <v>0.7025000000000006</v>
      </c>
      <c r="R51" s="17">
        <f t="shared" si="4"/>
        <v>0</v>
      </c>
      <c r="S51" s="17">
        <f t="shared" si="5"/>
        <v>0</v>
      </c>
      <c r="T51" s="17">
        <f t="shared" si="6"/>
        <v>40.1725</v>
      </c>
      <c r="U51" s="17">
        <f t="shared" si="9"/>
        <v>39.74826291087867</v>
      </c>
      <c r="V51" s="17">
        <f t="shared" si="10"/>
        <v>39.75659566709781</v>
      </c>
      <c r="W51" s="17">
        <f t="shared" si="7"/>
        <v>-0.2865956670978136</v>
      </c>
      <c r="X51" s="17">
        <f t="shared" si="8"/>
        <v>-1.4050000000000011</v>
      </c>
      <c r="Y51" s="17"/>
      <c r="Z51" s="155"/>
      <c r="AA51" s="155"/>
      <c r="AB51" s="155"/>
      <c r="AC51" s="155"/>
      <c r="AD51" s="50"/>
    </row>
    <row r="52" spans="2:30"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17">
        <f t="shared" si="2"/>
        <v>77.07799999999997</v>
      </c>
      <c r="Q52" s="17">
        <f t="shared" si="3"/>
        <v>38.53899999999999</v>
      </c>
      <c r="R52" s="17">
        <f t="shared" si="4"/>
        <v>0</v>
      </c>
      <c r="S52" s="17">
        <f t="shared" si="5"/>
        <v>0</v>
      </c>
      <c r="T52" s="17">
        <f t="shared" si="6"/>
        <v>510.65999999999997</v>
      </c>
      <c r="U52" s="17">
        <f t="shared" si="9"/>
        <v>505.2672335072326</v>
      </c>
      <c r="V52" s="17">
        <f t="shared" si="10"/>
        <v>505.3731568451097</v>
      </c>
      <c r="W52" s="17">
        <f t="shared" si="7"/>
        <v>-33.25215684510971</v>
      </c>
      <c r="X52" s="17">
        <f t="shared" si="8"/>
        <v>-77.07799999999997</v>
      </c>
      <c r="Y52" s="17"/>
      <c r="Z52" s="155"/>
      <c r="AA52" s="155"/>
      <c r="AB52" s="155"/>
      <c r="AC52" s="155"/>
      <c r="AD52" s="50"/>
    </row>
    <row r="53" spans="2:30"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17">
        <f t="shared" si="2"/>
        <v>0.10299999999999798</v>
      </c>
      <c r="Q53" s="17">
        <f t="shared" si="3"/>
        <v>0.05149999999999899</v>
      </c>
      <c r="R53" s="17">
        <f t="shared" si="4"/>
        <v>0</v>
      </c>
      <c r="S53" s="17">
        <f t="shared" si="5"/>
        <v>0</v>
      </c>
      <c r="T53" s="17">
        <f t="shared" si="6"/>
        <v>18.485500000000002</v>
      </c>
      <c r="U53" s="17">
        <f t="shared" si="9"/>
        <v>18.290285992632967</v>
      </c>
      <c r="V53" s="17">
        <f t="shared" si="10"/>
        <v>18.294120336153757</v>
      </c>
      <c r="W53" s="17">
        <f t="shared" si="7"/>
        <v>0.13987966384624428</v>
      </c>
      <c r="X53" s="17">
        <f t="shared" si="8"/>
        <v>-0.10299999999999798</v>
      </c>
      <c r="Y53" s="17"/>
      <c r="Z53" s="155"/>
      <c r="AA53" s="155"/>
      <c r="AB53" s="155"/>
      <c r="AC53" s="155"/>
      <c r="AD53" s="50"/>
    </row>
    <row r="54" spans="2:30"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17">
        <f t="shared" si="2"/>
        <v>0</v>
      </c>
      <c r="Q54" s="17">
        <f t="shared" si="3"/>
        <v>0</v>
      </c>
      <c r="R54" s="17">
        <f t="shared" si="4"/>
        <v>0.6600000000000001</v>
      </c>
      <c r="S54" s="17">
        <f t="shared" si="5"/>
        <v>0.33000000000000007</v>
      </c>
      <c r="T54" s="17">
        <f t="shared" si="6"/>
        <v>5</v>
      </c>
      <c r="U54" s="17">
        <f t="shared" si="9"/>
        <v>5</v>
      </c>
      <c r="V54" s="17">
        <f t="shared" si="10"/>
        <v>4.948235194112616</v>
      </c>
      <c r="W54" s="17">
        <f t="shared" si="7"/>
        <v>-1.6012351941126162</v>
      </c>
      <c r="X54" s="17">
        <f t="shared" si="8"/>
        <v>0.6600000000000001</v>
      </c>
      <c r="Y54" s="17"/>
      <c r="Z54" s="155"/>
      <c r="AA54" s="155"/>
      <c r="AB54" s="155"/>
      <c r="AC54" s="155"/>
      <c r="AD54" s="50"/>
    </row>
    <row r="55" spans="2:30"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17">
        <f t="shared" si="2"/>
        <v>0.10999999999999988</v>
      </c>
      <c r="Q55" s="17">
        <f t="shared" si="3"/>
        <v>0.05499999999999994</v>
      </c>
      <c r="R55" s="17">
        <f t="shared" si="4"/>
        <v>0</v>
      </c>
      <c r="S55" s="17">
        <f t="shared" si="5"/>
        <v>0</v>
      </c>
      <c r="T55" s="17">
        <f t="shared" si="6"/>
        <v>5</v>
      </c>
      <c r="U55" s="17">
        <f t="shared" si="9"/>
        <v>5</v>
      </c>
      <c r="V55" s="17">
        <f t="shared" si="10"/>
        <v>4.948235194112616</v>
      </c>
      <c r="W55" s="17">
        <f t="shared" si="7"/>
        <v>-1.6902351941126161</v>
      </c>
      <c r="X55" s="17">
        <f t="shared" si="8"/>
        <v>-0.10999999999999988</v>
      </c>
      <c r="Y55" s="17"/>
      <c r="Z55" s="155"/>
      <c r="AA55" s="155"/>
      <c r="AB55" s="155"/>
      <c r="AC55" s="155"/>
      <c r="AD55" s="50"/>
    </row>
    <row r="56" spans="2:30"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17">
        <f t="shared" si="2"/>
        <v>0</v>
      </c>
      <c r="Q56" s="17">
        <f t="shared" si="3"/>
        <v>0</v>
      </c>
      <c r="R56" s="17">
        <f t="shared" si="4"/>
        <v>0.7680000000000007</v>
      </c>
      <c r="S56" s="17">
        <f t="shared" si="5"/>
        <v>0.38400000000000034</v>
      </c>
      <c r="T56" s="17">
        <f t="shared" si="6"/>
        <v>32.622</v>
      </c>
      <c r="U56" s="17">
        <f t="shared" si="9"/>
        <v>32.277499102089344</v>
      </c>
      <c r="V56" s="17">
        <f t="shared" si="10"/>
        <v>32.28426570046835</v>
      </c>
      <c r="W56" s="17">
        <f t="shared" si="7"/>
        <v>0.7217342995316471</v>
      </c>
      <c r="X56" s="17">
        <f t="shared" si="8"/>
        <v>0.7680000000000007</v>
      </c>
      <c r="Y56" s="17"/>
      <c r="Z56" s="155"/>
      <c r="AA56" s="155"/>
      <c r="AB56" s="155"/>
      <c r="AC56" s="155"/>
      <c r="AD56" s="50"/>
    </row>
    <row r="57" spans="2:30"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17">
        <f t="shared" si="2"/>
        <v>0</v>
      </c>
      <c r="Q57" s="17">
        <f t="shared" si="3"/>
        <v>0</v>
      </c>
      <c r="R57" s="17">
        <f t="shared" si="4"/>
        <v>5.878</v>
      </c>
      <c r="S57" s="17">
        <f t="shared" si="5"/>
        <v>2.939</v>
      </c>
      <c r="T57" s="17">
        <f t="shared" si="6"/>
        <v>52.897</v>
      </c>
      <c r="U57" s="17">
        <f t="shared" si="9"/>
        <v>52.33838728475323</v>
      </c>
      <c r="V57" s="17">
        <f t="shared" si="10"/>
        <v>52.349359412595014</v>
      </c>
      <c r="W57" s="17">
        <f t="shared" si="7"/>
        <v>3.4866405874049846</v>
      </c>
      <c r="X57" s="17">
        <f t="shared" si="8"/>
        <v>5.878</v>
      </c>
      <c r="Y57" s="17"/>
      <c r="Z57" s="155"/>
      <c r="AA57" s="155"/>
      <c r="AB57" s="155"/>
      <c r="AC57" s="155"/>
      <c r="AD57" s="50"/>
    </row>
    <row r="58" spans="2:30"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17">
        <f t="shared" si="2"/>
        <v>0.5230000000000001</v>
      </c>
      <c r="Q58" s="17">
        <f t="shared" si="3"/>
        <v>0.26150000000000007</v>
      </c>
      <c r="R58" s="17">
        <f t="shared" si="4"/>
        <v>0</v>
      </c>
      <c r="S58" s="17">
        <f t="shared" si="5"/>
        <v>0</v>
      </c>
      <c r="T58" s="17">
        <f t="shared" si="6"/>
        <v>5</v>
      </c>
      <c r="U58" s="17">
        <f t="shared" si="9"/>
        <v>5</v>
      </c>
      <c r="V58" s="17">
        <f t="shared" si="10"/>
        <v>4.948235194112616</v>
      </c>
      <c r="W58" s="17">
        <f t="shared" si="7"/>
        <v>-2.6802351941126163</v>
      </c>
      <c r="X58" s="17">
        <f t="shared" si="8"/>
        <v>-0.5230000000000001</v>
      </c>
      <c r="Y58" s="17"/>
      <c r="Z58" s="155"/>
      <c r="AA58" s="155"/>
      <c r="AB58" s="155"/>
      <c r="AC58" s="155"/>
      <c r="AD58" s="50"/>
    </row>
    <row r="59" spans="2:30"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17">
        <f t="shared" si="2"/>
        <v>6.373999999999995</v>
      </c>
      <c r="Q59" s="17">
        <f t="shared" si="3"/>
        <v>3.1869999999999976</v>
      </c>
      <c r="R59" s="17">
        <f t="shared" si="4"/>
        <v>0</v>
      </c>
      <c r="S59" s="17">
        <f t="shared" si="5"/>
        <v>0</v>
      </c>
      <c r="T59" s="17">
        <f t="shared" si="6"/>
        <v>247.91000000000003</v>
      </c>
      <c r="U59" s="17">
        <f t="shared" si="9"/>
        <v>245.29197481451075</v>
      </c>
      <c r="V59" s="17">
        <f t="shared" si="10"/>
        <v>245.34339739449177</v>
      </c>
      <c r="W59" s="17">
        <f t="shared" si="7"/>
        <v>-0.6203973944917607</v>
      </c>
      <c r="X59" s="17">
        <f t="shared" si="8"/>
        <v>-6.373999999999995</v>
      </c>
      <c r="Y59" s="17"/>
      <c r="Z59" s="155"/>
      <c r="AA59" s="155"/>
      <c r="AB59" s="155"/>
      <c r="AC59" s="155"/>
      <c r="AD59" s="50"/>
    </row>
    <row r="60" spans="2:30"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17">
        <f t="shared" si="2"/>
        <v>0.8000000000000007</v>
      </c>
      <c r="Q60" s="17">
        <f t="shared" si="3"/>
        <v>0.40000000000000036</v>
      </c>
      <c r="R60" s="17">
        <f t="shared" si="4"/>
        <v>0</v>
      </c>
      <c r="S60" s="17">
        <f t="shared" si="5"/>
        <v>0</v>
      </c>
      <c r="T60" s="17">
        <f t="shared" si="6"/>
        <v>5.702</v>
      </c>
      <c r="U60" s="17">
        <f t="shared" si="9"/>
        <v>5.641784681506757</v>
      </c>
      <c r="V60" s="17">
        <f t="shared" si="10"/>
        <v>5.642967415366027</v>
      </c>
      <c r="W60" s="17">
        <f t="shared" si="7"/>
        <v>-0.3409674153660278</v>
      </c>
      <c r="X60" s="17">
        <f t="shared" si="8"/>
        <v>-0.8000000000000007</v>
      </c>
      <c r="Y60" s="17"/>
      <c r="Z60" s="155"/>
      <c r="AA60" s="155"/>
      <c r="AB60" s="155"/>
      <c r="AC60" s="155"/>
      <c r="AD60" s="50"/>
    </row>
    <row r="61" spans="2:30"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17">
        <f t="shared" si="2"/>
        <v>0</v>
      </c>
      <c r="Q61" s="17">
        <f t="shared" si="3"/>
        <v>0</v>
      </c>
      <c r="R61" s="17">
        <f t="shared" si="4"/>
        <v>7.632999999999996</v>
      </c>
      <c r="S61" s="17">
        <f t="shared" si="5"/>
        <v>3.816499999999998</v>
      </c>
      <c r="T61" s="17">
        <f t="shared" si="6"/>
        <v>36.9465</v>
      </c>
      <c r="U61" s="17">
        <f t="shared" si="9"/>
        <v>36.55633071471228</v>
      </c>
      <c r="V61" s="17">
        <f t="shared" si="10"/>
        <v>36.563994319856356</v>
      </c>
      <c r="W61" s="17">
        <f t="shared" si="7"/>
        <v>4.199005680143642</v>
      </c>
      <c r="X61" s="17">
        <f t="shared" si="8"/>
        <v>7.632999999999996</v>
      </c>
      <c r="Y61" s="17"/>
      <c r="Z61" s="155"/>
      <c r="AA61" s="155"/>
      <c r="AB61" s="155"/>
      <c r="AC61" s="155"/>
      <c r="AD61" s="50"/>
    </row>
    <row r="62" spans="2:30"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17">
        <f t="shared" si="2"/>
        <v>0.01100000000000001</v>
      </c>
      <c r="Q62" s="17">
        <f t="shared" si="3"/>
        <v>0.005500000000000005</v>
      </c>
      <c r="R62" s="17">
        <f t="shared" si="4"/>
        <v>0</v>
      </c>
      <c r="S62" s="17">
        <f t="shared" si="5"/>
        <v>0</v>
      </c>
      <c r="T62" s="17">
        <f t="shared" si="6"/>
        <v>5</v>
      </c>
      <c r="U62" s="17">
        <f t="shared" si="9"/>
        <v>5</v>
      </c>
      <c r="V62" s="17">
        <f t="shared" si="10"/>
        <v>4.948235194112616</v>
      </c>
      <c r="W62" s="17">
        <f t="shared" si="7"/>
        <v>-4.452235194112616</v>
      </c>
      <c r="X62" s="17">
        <f t="shared" si="8"/>
        <v>-0.01100000000000001</v>
      </c>
      <c r="Y62" s="17"/>
      <c r="Z62" s="155"/>
      <c r="AA62" s="155"/>
      <c r="AB62" s="155"/>
      <c r="AC62" s="155"/>
      <c r="AD62" s="50"/>
    </row>
    <row r="63" spans="2:30"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17">
        <f t="shared" si="2"/>
        <v>1.581999999999999</v>
      </c>
      <c r="Q63" s="17">
        <f t="shared" si="3"/>
        <v>0.7909999999999995</v>
      </c>
      <c r="R63" s="17">
        <f t="shared" si="4"/>
        <v>0</v>
      </c>
      <c r="S63" s="17">
        <f t="shared" si="5"/>
        <v>0</v>
      </c>
      <c r="T63" s="17">
        <f t="shared" si="6"/>
        <v>10.873999999999999</v>
      </c>
      <c r="U63" s="17">
        <f t="shared" si="9"/>
        <v>10.759166367363113</v>
      </c>
      <c r="V63" s="17">
        <f t="shared" si="10"/>
        <v>10.761421900156117</v>
      </c>
      <c r="W63" s="17">
        <f t="shared" si="7"/>
        <v>-0.6784219001561169</v>
      </c>
      <c r="X63" s="17">
        <f t="shared" si="8"/>
        <v>-1.581999999999999</v>
      </c>
      <c r="Y63" s="17"/>
      <c r="Z63" s="155"/>
      <c r="AA63" s="155"/>
      <c r="AB63" s="155"/>
      <c r="AC63" s="155"/>
      <c r="AD63" s="50"/>
    </row>
    <row r="64" spans="2:30"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17">
        <f t="shared" si="2"/>
        <v>0</v>
      </c>
      <c r="Q64" s="17">
        <f t="shared" si="3"/>
        <v>0</v>
      </c>
      <c r="R64" s="17">
        <f t="shared" si="4"/>
        <v>28.841999999999985</v>
      </c>
      <c r="S64" s="17">
        <f t="shared" si="5"/>
        <v>14.420999999999992</v>
      </c>
      <c r="T64" s="17">
        <f t="shared" si="6"/>
        <v>181.243</v>
      </c>
      <c r="U64" s="17">
        <f t="shared" si="9"/>
        <v>179.32900403899143</v>
      </c>
      <c r="V64" s="17">
        <f t="shared" si="10"/>
        <v>179.36659825731059</v>
      </c>
      <c r="W64" s="17">
        <f t="shared" si="7"/>
        <v>16.297401742689402</v>
      </c>
      <c r="X64" s="17">
        <f t="shared" si="8"/>
        <v>28.841999999999985</v>
      </c>
      <c r="Y64" s="17"/>
      <c r="Z64" s="155"/>
      <c r="AA64" s="155"/>
      <c r="AB64" s="155"/>
      <c r="AC64" s="155"/>
      <c r="AD64" s="50"/>
    </row>
    <row r="65" spans="2:30"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17">
        <f t="shared" si="2"/>
        <v>0</v>
      </c>
      <c r="Q65" s="17">
        <f t="shared" si="3"/>
        <v>0</v>
      </c>
      <c r="R65" s="17">
        <f t="shared" si="4"/>
        <v>19.14500000000001</v>
      </c>
      <c r="S65" s="17">
        <f t="shared" si="5"/>
        <v>9.572500000000005</v>
      </c>
      <c r="T65" s="17">
        <f t="shared" si="6"/>
        <v>126.9235</v>
      </c>
      <c r="U65" s="17">
        <f t="shared" si="9"/>
        <v>125.58313890270483</v>
      </c>
      <c r="V65" s="17">
        <f t="shared" si="10"/>
        <v>125.60946593199053</v>
      </c>
      <c r="W65" s="17">
        <f t="shared" si="7"/>
        <v>10.886534068009482</v>
      </c>
      <c r="X65" s="17">
        <f t="shared" si="8"/>
        <v>19.14500000000001</v>
      </c>
      <c r="Y65" s="17"/>
      <c r="Z65" s="155"/>
      <c r="AA65" s="155"/>
      <c r="AB65" s="155"/>
      <c r="AC65" s="155"/>
      <c r="AD65" s="50"/>
    </row>
    <row r="66" spans="2:30"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17">
        <f t="shared" si="2"/>
        <v>3.623000000000001</v>
      </c>
      <c r="Q66" s="17">
        <f t="shared" si="3"/>
        <v>1.8115000000000006</v>
      </c>
      <c r="R66" s="17">
        <f t="shared" si="4"/>
        <v>0</v>
      </c>
      <c r="S66" s="17">
        <f t="shared" si="5"/>
        <v>0</v>
      </c>
      <c r="T66" s="17">
        <f t="shared" si="6"/>
        <v>19.505499999999998</v>
      </c>
      <c r="U66" s="17">
        <f t="shared" si="9"/>
        <v>19.299514399356372</v>
      </c>
      <c r="V66" s="17">
        <f t="shared" si="10"/>
        <v>19.303560315752726</v>
      </c>
      <c r="W66" s="17">
        <f t="shared" si="7"/>
        <v>-1.6095603157527272</v>
      </c>
      <c r="X66" s="17">
        <f t="shared" si="8"/>
        <v>-3.623000000000001</v>
      </c>
      <c r="Y66" s="17"/>
      <c r="Z66" s="155"/>
      <c r="AA66" s="155"/>
      <c r="AB66" s="155"/>
      <c r="AC66" s="155"/>
      <c r="AD66" s="50"/>
    </row>
    <row r="67" spans="2:30"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17">
        <f t="shared" si="2"/>
        <v>0</v>
      </c>
      <c r="Q67" s="17">
        <f t="shared" si="3"/>
        <v>0</v>
      </c>
      <c r="R67" s="17">
        <f t="shared" si="4"/>
        <v>2.223</v>
      </c>
      <c r="S67" s="17">
        <f t="shared" si="5"/>
        <v>1.1115</v>
      </c>
      <c r="T67" s="17">
        <f t="shared" si="6"/>
        <v>6.3035</v>
      </c>
      <c r="U67" s="17">
        <f t="shared" si="9"/>
        <v>6.236932609589239</v>
      </c>
      <c r="V67" s="17">
        <f t="shared" si="10"/>
        <v>6.238240109217775</v>
      </c>
      <c r="W67" s="17">
        <f t="shared" si="7"/>
        <v>1.1767598907822254</v>
      </c>
      <c r="X67" s="17">
        <f t="shared" si="8"/>
        <v>2.223</v>
      </c>
      <c r="Y67" s="17"/>
      <c r="Z67" s="155"/>
      <c r="AA67" s="155"/>
      <c r="AB67" s="155"/>
      <c r="AC67" s="155"/>
      <c r="AD67" s="50"/>
    </row>
    <row r="68" spans="2:30"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17">
        <f t="shared" si="2"/>
        <v>10.852000000000018</v>
      </c>
      <c r="Q68" s="17">
        <f t="shared" si="3"/>
        <v>5.426000000000009</v>
      </c>
      <c r="R68" s="17">
        <f t="shared" si="4"/>
        <v>0</v>
      </c>
      <c r="S68" s="17">
        <f t="shared" si="5"/>
        <v>0</v>
      </c>
      <c r="T68" s="17">
        <f t="shared" si="6"/>
        <v>125.791</v>
      </c>
      <c r="U68" s="17">
        <f aca="true" t="shared" si="11" ref="U68:U99">MAX(T68*$Z$18,$T$1)</f>
        <v>124.4625985393575</v>
      </c>
      <c r="V68" s="17">
        <f aca="true" t="shared" si="12" ref="V68:V99">T68*$Z$19</f>
        <v>124.48869066052401</v>
      </c>
      <c r="W68" s="17">
        <f t="shared" si="7"/>
        <v>-4.123690660524019</v>
      </c>
      <c r="X68" s="17">
        <f t="shared" si="8"/>
        <v>-10.852000000000018</v>
      </c>
      <c r="Y68" s="17"/>
      <c r="Z68" s="155"/>
      <c r="AA68" s="155"/>
      <c r="AB68" s="155"/>
      <c r="AC68" s="155"/>
      <c r="AD68" s="50"/>
    </row>
    <row r="69" spans="2:30"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17">
        <f aca="true" t="shared" si="13" ref="P69:P132">IF(O69&gt;N69,O69-N69,0)</f>
        <v>0</v>
      </c>
      <c r="Q69" s="17">
        <f aca="true" t="shared" si="14" ref="Q69:Q132">P69*$Q$1</f>
        <v>0</v>
      </c>
      <c r="R69" s="17">
        <f aca="true" t="shared" si="15" ref="R69:R132">IF(O69&lt;N69,N69-O69,0)</f>
        <v>5.724</v>
      </c>
      <c r="S69" s="17">
        <f aca="true" t="shared" si="16" ref="S69:S132">R69*$S$1</f>
        <v>2.862</v>
      </c>
      <c r="T69" s="17">
        <f aca="true" t="shared" si="17" ref="T69:T132">MAX($T$1,O69-Q69+S69)</f>
        <v>25.615000000000002</v>
      </c>
      <c r="U69" s="17">
        <f t="shared" si="11"/>
        <v>25.344495723745283</v>
      </c>
      <c r="V69" s="17">
        <f t="shared" si="12"/>
        <v>25.349808899438933</v>
      </c>
      <c r="W69" s="17">
        <f aca="true" t="shared" si="18" ref="W69:W132">N69-V69</f>
        <v>3.127191100561067</v>
      </c>
      <c r="X69" s="17">
        <f aca="true" t="shared" si="19" ref="X69:X132">N69-O69</f>
        <v>5.724</v>
      </c>
      <c r="Y69" s="17"/>
      <c r="Z69" s="155"/>
      <c r="AA69" s="155"/>
      <c r="AB69" s="155"/>
      <c r="AC69" s="155"/>
      <c r="AD69" s="50"/>
    </row>
    <row r="70" spans="2:30"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17">
        <f t="shared" si="13"/>
        <v>0</v>
      </c>
      <c r="Q70" s="17">
        <f t="shared" si="14"/>
        <v>0</v>
      </c>
      <c r="R70" s="17">
        <f t="shared" si="15"/>
        <v>2.507999999999999</v>
      </c>
      <c r="S70" s="17">
        <f t="shared" si="16"/>
        <v>1.2539999999999996</v>
      </c>
      <c r="T70" s="17">
        <f t="shared" si="17"/>
        <v>14.353</v>
      </c>
      <c r="U70" s="17">
        <f t="shared" si="11"/>
        <v>14.201426785981495</v>
      </c>
      <c r="V70" s="17">
        <f t="shared" si="12"/>
        <v>14.204403948219676</v>
      </c>
      <c r="W70" s="17">
        <f t="shared" si="18"/>
        <v>1.402596051780323</v>
      </c>
      <c r="X70" s="17">
        <f t="shared" si="19"/>
        <v>2.507999999999999</v>
      </c>
      <c r="Y70" s="17"/>
      <c r="Z70" s="155"/>
      <c r="AA70" s="155"/>
      <c r="AB70" s="155"/>
      <c r="AC70" s="155"/>
      <c r="AD70" s="50"/>
    </row>
    <row r="71" spans="2:30"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17">
        <f t="shared" si="13"/>
        <v>0</v>
      </c>
      <c r="Q71" s="17">
        <f t="shared" si="14"/>
        <v>0</v>
      </c>
      <c r="R71" s="17">
        <f t="shared" si="15"/>
        <v>0.5620000000000003</v>
      </c>
      <c r="S71" s="17">
        <f t="shared" si="16"/>
        <v>0.28100000000000014</v>
      </c>
      <c r="T71" s="17">
        <f t="shared" si="17"/>
        <v>6.494</v>
      </c>
      <c r="U71" s="17">
        <f t="shared" si="11"/>
        <v>6.425420856139053</v>
      </c>
      <c r="V71" s="17">
        <f t="shared" si="12"/>
        <v>6.426767870113466</v>
      </c>
      <c r="W71" s="17">
        <f t="shared" si="18"/>
        <v>0.34823212988653474</v>
      </c>
      <c r="X71" s="17">
        <f t="shared" si="19"/>
        <v>0.5620000000000003</v>
      </c>
      <c r="Y71" s="17"/>
      <c r="Z71" s="155"/>
      <c r="AA71" s="155"/>
      <c r="AB71" s="155"/>
      <c r="AC71" s="155"/>
      <c r="AD71" s="50"/>
    </row>
    <row r="72" spans="2:30"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17">
        <f t="shared" si="13"/>
        <v>0</v>
      </c>
      <c r="Q72" s="17">
        <f t="shared" si="14"/>
        <v>0</v>
      </c>
      <c r="R72" s="17">
        <f t="shared" si="15"/>
        <v>7.618000000000009</v>
      </c>
      <c r="S72" s="17">
        <f t="shared" si="16"/>
        <v>3.8090000000000046</v>
      </c>
      <c r="T72" s="17">
        <f t="shared" si="17"/>
        <v>83.36500000000001</v>
      </c>
      <c r="U72" s="17">
        <f t="shared" si="11"/>
        <v>82.4846334573502</v>
      </c>
      <c r="V72" s="17">
        <f t="shared" si="12"/>
        <v>82.50192539143966</v>
      </c>
      <c r="W72" s="17">
        <f t="shared" si="18"/>
        <v>4.672074608560351</v>
      </c>
      <c r="X72" s="17">
        <f t="shared" si="19"/>
        <v>7.618000000000009</v>
      </c>
      <c r="Y72" s="17"/>
      <c r="Z72" s="155"/>
      <c r="AA72" s="155"/>
      <c r="AB72" s="155"/>
      <c r="AC72" s="155"/>
      <c r="AD72" s="50"/>
    </row>
    <row r="73" spans="2:30"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17">
        <f t="shared" si="13"/>
        <v>0</v>
      </c>
      <c r="Q73" s="17">
        <f t="shared" si="14"/>
        <v>0</v>
      </c>
      <c r="R73" s="17">
        <f t="shared" si="15"/>
        <v>23.99300000000001</v>
      </c>
      <c r="S73" s="17">
        <f t="shared" si="16"/>
        <v>11.996500000000005</v>
      </c>
      <c r="T73" s="17">
        <f t="shared" si="17"/>
        <v>116.88650000000001</v>
      </c>
      <c r="U73" s="17">
        <f t="shared" si="11"/>
        <v>115.65213349262358</v>
      </c>
      <c r="V73" s="17">
        <f t="shared" si="12"/>
        <v>115.67637860332887</v>
      </c>
      <c r="W73" s="17">
        <f t="shared" si="18"/>
        <v>13.206621396671139</v>
      </c>
      <c r="X73" s="17">
        <f t="shared" si="19"/>
        <v>23.99300000000001</v>
      </c>
      <c r="Y73" s="17"/>
      <c r="Z73" s="155"/>
      <c r="AA73" s="155"/>
      <c r="AB73" s="155"/>
      <c r="AC73" s="155"/>
      <c r="AD73" s="50"/>
    </row>
    <row r="74" spans="2:30"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17">
        <f t="shared" si="13"/>
        <v>0</v>
      </c>
      <c r="Q74" s="17">
        <f t="shared" si="14"/>
        <v>0</v>
      </c>
      <c r="R74" s="17">
        <f t="shared" si="15"/>
        <v>2.769</v>
      </c>
      <c r="S74" s="17">
        <f t="shared" si="16"/>
        <v>1.3845</v>
      </c>
      <c r="T74" s="17">
        <f t="shared" si="17"/>
        <v>11.086500000000001</v>
      </c>
      <c r="U74" s="17">
        <f t="shared" si="11"/>
        <v>10.969422285430493</v>
      </c>
      <c r="V74" s="17">
        <f t="shared" si="12"/>
        <v>10.971721895905905</v>
      </c>
      <c r="W74" s="17">
        <f t="shared" si="18"/>
        <v>1.4992781040940955</v>
      </c>
      <c r="X74" s="17">
        <f t="shared" si="19"/>
        <v>2.769</v>
      </c>
      <c r="Y74" s="17"/>
      <c r="Z74" s="155"/>
      <c r="AA74" s="155"/>
      <c r="AB74" s="155"/>
      <c r="AC74" s="155"/>
      <c r="AD74" s="50"/>
    </row>
    <row r="75" spans="2:30"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17">
        <f t="shared" si="13"/>
        <v>0</v>
      </c>
      <c r="Q75" s="17">
        <f t="shared" si="14"/>
        <v>0</v>
      </c>
      <c r="R75" s="17">
        <f t="shared" si="15"/>
        <v>21.143</v>
      </c>
      <c r="S75" s="17">
        <f t="shared" si="16"/>
        <v>10.5715</v>
      </c>
      <c r="T75" s="17">
        <f t="shared" si="17"/>
        <v>47.2305</v>
      </c>
      <c r="U75" s="17">
        <f t="shared" si="11"/>
        <v>46.73172770955891</v>
      </c>
      <c r="V75" s="17">
        <f t="shared" si="12"/>
        <v>46.74152446710718</v>
      </c>
      <c r="W75" s="17">
        <f t="shared" si="18"/>
        <v>11.060475532892816</v>
      </c>
      <c r="X75" s="17">
        <f t="shared" si="19"/>
        <v>21.143</v>
      </c>
      <c r="Y75" s="17"/>
      <c r="Z75" s="155"/>
      <c r="AA75" s="155"/>
      <c r="AB75" s="155"/>
      <c r="AC75" s="155"/>
      <c r="AD75" s="50"/>
    </row>
    <row r="76" spans="2:30"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17">
        <f t="shared" si="13"/>
        <v>0</v>
      </c>
      <c r="Q76" s="17">
        <f t="shared" si="14"/>
        <v>0</v>
      </c>
      <c r="R76" s="17">
        <f t="shared" si="15"/>
        <v>22.046</v>
      </c>
      <c r="S76" s="17">
        <f t="shared" si="16"/>
        <v>11.023</v>
      </c>
      <c r="T76" s="17">
        <f t="shared" si="17"/>
        <v>62.022000000000006</v>
      </c>
      <c r="U76" s="17">
        <f t="shared" si="11"/>
        <v>61.367023766470034</v>
      </c>
      <c r="V76" s="17">
        <f t="shared" si="12"/>
        <v>61.37988864185054</v>
      </c>
      <c r="W76" s="17">
        <f t="shared" si="18"/>
        <v>11.66511135814946</v>
      </c>
      <c r="X76" s="17">
        <f t="shared" si="19"/>
        <v>22.046</v>
      </c>
      <c r="Y76" s="17"/>
      <c r="Z76" s="155"/>
      <c r="AA76" s="155"/>
      <c r="AB76" s="155"/>
      <c r="AC76" s="155"/>
      <c r="AD76" s="50"/>
    </row>
    <row r="77" spans="2:30"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17">
        <f t="shared" si="13"/>
        <v>2.838000000000001</v>
      </c>
      <c r="Q77" s="17">
        <f t="shared" si="14"/>
        <v>1.4190000000000005</v>
      </c>
      <c r="R77" s="17">
        <f t="shared" si="15"/>
        <v>0</v>
      </c>
      <c r="S77" s="17">
        <f t="shared" si="16"/>
        <v>0</v>
      </c>
      <c r="T77" s="17">
        <f t="shared" si="17"/>
        <v>31.694</v>
      </c>
      <c r="U77" s="17">
        <f t="shared" si="11"/>
        <v>31.359299139893924</v>
      </c>
      <c r="V77" s="17">
        <f t="shared" si="12"/>
        <v>31.36587324844105</v>
      </c>
      <c r="W77" s="17">
        <f t="shared" si="18"/>
        <v>-1.0908732484410528</v>
      </c>
      <c r="X77" s="17">
        <f t="shared" si="19"/>
        <v>-2.838000000000001</v>
      </c>
      <c r="Y77" s="17"/>
      <c r="Z77" s="155"/>
      <c r="AA77" s="155"/>
      <c r="AB77" s="155"/>
      <c r="AC77" s="155"/>
      <c r="AD77" s="50"/>
    </row>
    <row r="78" spans="2:30"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17">
        <f t="shared" si="13"/>
        <v>1.0470000000000006</v>
      </c>
      <c r="Q78" s="17">
        <f t="shared" si="14"/>
        <v>0.5235000000000003</v>
      </c>
      <c r="R78" s="17">
        <f t="shared" si="15"/>
        <v>0</v>
      </c>
      <c r="S78" s="17">
        <f t="shared" si="16"/>
        <v>0</v>
      </c>
      <c r="T78" s="17">
        <f t="shared" si="17"/>
        <v>28.579500000000003</v>
      </c>
      <c r="U78" s="17">
        <f t="shared" si="11"/>
        <v>28.277689460737</v>
      </c>
      <c r="V78" s="17">
        <f t="shared" si="12"/>
        <v>28.283617546028307</v>
      </c>
      <c r="W78" s="17">
        <f t="shared" si="18"/>
        <v>-0.22761754602830564</v>
      </c>
      <c r="X78" s="17">
        <f t="shared" si="19"/>
        <v>-1.0470000000000006</v>
      </c>
      <c r="Y78" s="17"/>
      <c r="Z78" s="155"/>
      <c r="AA78" s="155"/>
      <c r="AB78" s="155"/>
      <c r="AC78" s="155"/>
      <c r="AD78" s="50"/>
    </row>
    <row r="79" spans="2:30"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17">
        <f t="shared" si="13"/>
        <v>0</v>
      </c>
      <c r="Q79" s="17">
        <f t="shared" si="14"/>
        <v>0</v>
      </c>
      <c r="R79" s="17">
        <f t="shared" si="15"/>
        <v>3.725999999999999</v>
      </c>
      <c r="S79" s="17">
        <f t="shared" si="16"/>
        <v>1.8629999999999995</v>
      </c>
      <c r="T79" s="17">
        <f t="shared" si="17"/>
        <v>115.595</v>
      </c>
      <c r="U79" s="17">
        <f t="shared" si="11"/>
        <v>114.37427223058113</v>
      </c>
      <c r="V79" s="17">
        <f t="shared" si="12"/>
        <v>114.39824945268957</v>
      </c>
      <c r="W79" s="17">
        <f t="shared" si="18"/>
        <v>3.059750547310429</v>
      </c>
      <c r="X79" s="17">
        <f t="shared" si="19"/>
        <v>3.725999999999999</v>
      </c>
      <c r="Y79" s="17"/>
      <c r="Z79" s="155"/>
      <c r="AA79" s="155"/>
      <c r="AB79" s="155"/>
      <c r="AC79" s="155"/>
      <c r="AD79" s="50"/>
    </row>
    <row r="80" spans="2:30"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17">
        <f t="shared" si="13"/>
        <v>0</v>
      </c>
      <c r="Q80" s="17">
        <f t="shared" si="14"/>
        <v>0</v>
      </c>
      <c r="R80" s="17">
        <f t="shared" si="15"/>
        <v>1.1649999999999991</v>
      </c>
      <c r="S80" s="17">
        <f t="shared" si="16"/>
        <v>0.5824999999999996</v>
      </c>
      <c r="T80" s="17">
        <f t="shared" si="17"/>
        <v>14.5825</v>
      </c>
      <c r="U80" s="17">
        <f t="shared" si="11"/>
        <v>14.428503177494262</v>
      </c>
      <c r="V80" s="17">
        <f t="shared" si="12"/>
        <v>14.431527943629446</v>
      </c>
      <c r="W80" s="17">
        <f t="shared" si="18"/>
        <v>0.7334720563705535</v>
      </c>
      <c r="X80" s="17">
        <f t="shared" si="19"/>
        <v>1.1649999999999991</v>
      </c>
      <c r="Y80" s="17"/>
      <c r="Z80" s="155"/>
      <c r="AA80" s="155"/>
      <c r="AB80" s="155"/>
      <c r="AC80" s="155"/>
      <c r="AD80" s="50"/>
    </row>
    <row r="81" spans="2:30"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17">
        <f t="shared" si="13"/>
        <v>0</v>
      </c>
      <c r="Q81" s="17">
        <f t="shared" si="14"/>
        <v>0</v>
      </c>
      <c r="R81" s="17">
        <f t="shared" si="15"/>
        <v>1.9420000000000002</v>
      </c>
      <c r="S81" s="17">
        <f t="shared" si="16"/>
        <v>0.9710000000000001</v>
      </c>
      <c r="T81" s="17">
        <f t="shared" si="17"/>
        <v>10.497</v>
      </c>
      <c r="U81" s="17">
        <f t="shared" si="11"/>
        <v>10.386147632721226</v>
      </c>
      <c r="V81" s="17">
        <f t="shared" si="12"/>
        <v>10.388324966520026</v>
      </c>
      <c r="W81" s="17">
        <f t="shared" si="18"/>
        <v>1.0796750334799743</v>
      </c>
      <c r="X81" s="17">
        <f t="shared" si="19"/>
        <v>1.9420000000000002</v>
      </c>
      <c r="Y81" s="17"/>
      <c r="Z81" s="155"/>
      <c r="AA81" s="155"/>
      <c r="AB81" s="155"/>
      <c r="AC81" s="155"/>
      <c r="AD81" s="50"/>
    </row>
    <row r="82" spans="2:30"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17">
        <f t="shared" si="13"/>
        <v>0</v>
      </c>
      <c r="Q82" s="17">
        <f t="shared" si="14"/>
        <v>0</v>
      </c>
      <c r="R82" s="17">
        <f t="shared" si="15"/>
        <v>15.313000000000002</v>
      </c>
      <c r="S82" s="17">
        <f t="shared" si="16"/>
        <v>7.656500000000001</v>
      </c>
      <c r="T82" s="17">
        <f t="shared" si="17"/>
        <v>93.6945</v>
      </c>
      <c r="U82" s="17">
        <f t="shared" si="11"/>
        <v>92.70504995465362</v>
      </c>
      <c r="V82" s="17">
        <f t="shared" si="12"/>
        <v>92.72448447895691</v>
      </c>
      <c r="W82" s="17">
        <f t="shared" si="18"/>
        <v>8.626515521043089</v>
      </c>
      <c r="X82" s="17">
        <f t="shared" si="19"/>
        <v>15.313000000000002</v>
      </c>
      <c r="Y82" s="17"/>
      <c r="Z82" s="155"/>
      <c r="AA82" s="155"/>
      <c r="AB82" s="155"/>
      <c r="AC82" s="155"/>
      <c r="AD82" s="50"/>
    </row>
    <row r="83" spans="2:30"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17">
        <f t="shared" si="13"/>
        <v>0</v>
      </c>
      <c r="Q83" s="17">
        <f t="shared" si="14"/>
        <v>0</v>
      </c>
      <c r="R83" s="17">
        <f t="shared" si="15"/>
        <v>0.875</v>
      </c>
      <c r="S83" s="17">
        <f t="shared" si="16"/>
        <v>0.4375</v>
      </c>
      <c r="T83" s="17">
        <f t="shared" si="17"/>
        <v>9.4245</v>
      </c>
      <c r="U83" s="17">
        <f t="shared" si="11"/>
        <v>9.324973646239991</v>
      </c>
      <c r="V83" s="17">
        <f t="shared" si="12"/>
        <v>9.326928517382871</v>
      </c>
      <c r="W83" s="17">
        <f t="shared" si="18"/>
        <v>0.5350714826171288</v>
      </c>
      <c r="X83" s="17">
        <f t="shared" si="19"/>
        <v>0.875</v>
      </c>
      <c r="Y83" s="17"/>
      <c r="Z83" s="155"/>
      <c r="AA83" s="155"/>
      <c r="AB83" s="155"/>
      <c r="AC83" s="155"/>
      <c r="AD83" s="50"/>
    </row>
    <row r="84" spans="2:30"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17">
        <f t="shared" si="13"/>
        <v>0</v>
      </c>
      <c r="Q84" s="17">
        <f t="shared" si="14"/>
        <v>0</v>
      </c>
      <c r="R84" s="17">
        <f t="shared" si="15"/>
        <v>0.5099999999999909</v>
      </c>
      <c r="S84" s="17">
        <f t="shared" si="16"/>
        <v>0.25499999999999545</v>
      </c>
      <c r="T84" s="17">
        <f t="shared" si="17"/>
        <v>80.184</v>
      </c>
      <c r="U84" s="17">
        <f t="shared" si="11"/>
        <v>79.33722604383335</v>
      </c>
      <c r="V84" s="17">
        <f t="shared" si="12"/>
        <v>79.35385816094521</v>
      </c>
      <c r="W84" s="17">
        <f t="shared" si="18"/>
        <v>1.085141839054785</v>
      </c>
      <c r="X84" s="17">
        <f t="shared" si="19"/>
        <v>0.5099999999999909</v>
      </c>
      <c r="Y84" s="17"/>
      <c r="Z84" s="155"/>
      <c r="AA84" s="155"/>
      <c r="AB84" s="155"/>
      <c r="AC84" s="155"/>
      <c r="AD84" s="50"/>
    </row>
    <row r="85" spans="2:30"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17">
        <f t="shared" si="13"/>
        <v>0</v>
      </c>
      <c r="Q85" s="17">
        <f t="shared" si="14"/>
        <v>0</v>
      </c>
      <c r="R85" s="17">
        <f t="shared" si="15"/>
        <v>12.303999999999995</v>
      </c>
      <c r="S85" s="17">
        <f t="shared" si="16"/>
        <v>6.1519999999999975</v>
      </c>
      <c r="T85" s="17">
        <f t="shared" si="17"/>
        <v>52.897999999999996</v>
      </c>
      <c r="U85" s="17">
        <f t="shared" si="11"/>
        <v>52.33937672436767</v>
      </c>
      <c r="V85" s="17">
        <f t="shared" si="12"/>
        <v>52.35034905963383</v>
      </c>
      <c r="W85" s="17">
        <f t="shared" si="18"/>
        <v>6.699650940366169</v>
      </c>
      <c r="X85" s="17">
        <f t="shared" si="19"/>
        <v>12.303999999999995</v>
      </c>
      <c r="Y85" s="17"/>
      <c r="Z85" s="155"/>
      <c r="AA85" s="155"/>
      <c r="AB85" s="155"/>
      <c r="AC85" s="155"/>
      <c r="AD85" s="50"/>
    </row>
    <row r="86" spans="2:30"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17">
        <f t="shared" si="13"/>
        <v>0</v>
      </c>
      <c r="Q86" s="17">
        <f t="shared" si="14"/>
        <v>0</v>
      </c>
      <c r="R86" s="17">
        <f t="shared" si="15"/>
        <v>3.5080000000000027</v>
      </c>
      <c r="S86" s="17">
        <f t="shared" si="16"/>
        <v>1.7540000000000013</v>
      </c>
      <c r="T86" s="17">
        <f t="shared" si="17"/>
        <v>39.706</v>
      </c>
      <c r="U86" s="17">
        <f t="shared" si="11"/>
        <v>39.286689330744885</v>
      </c>
      <c r="V86" s="17">
        <f t="shared" si="12"/>
        <v>39.294925323487114</v>
      </c>
      <c r="W86" s="17">
        <f t="shared" si="18"/>
        <v>2.165074676512887</v>
      </c>
      <c r="X86" s="17">
        <f t="shared" si="19"/>
        <v>3.5080000000000027</v>
      </c>
      <c r="Y86" s="17"/>
      <c r="Z86" s="155"/>
      <c r="AA86" s="155"/>
      <c r="AB86" s="155"/>
      <c r="AC86" s="155"/>
      <c r="AD86" s="50"/>
    </row>
    <row r="87" spans="2:30"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17">
        <f t="shared" si="13"/>
        <v>0</v>
      </c>
      <c r="Q87" s="17">
        <f t="shared" si="14"/>
        <v>0</v>
      </c>
      <c r="R87" s="17">
        <f t="shared" si="15"/>
        <v>6.8870000000000005</v>
      </c>
      <c r="S87" s="17">
        <f t="shared" si="16"/>
        <v>3.4435000000000002</v>
      </c>
      <c r="T87" s="17">
        <f t="shared" si="17"/>
        <v>30.4285</v>
      </c>
      <c r="U87" s="17">
        <f t="shared" si="11"/>
        <v>30.10716330782679</v>
      </c>
      <c r="V87" s="17">
        <f t="shared" si="12"/>
        <v>30.11347492081115</v>
      </c>
      <c r="W87" s="17">
        <f t="shared" si="18"/>
        <v>3.75852507918885</v>
      </c>
      <c r="X87" s="17">
        <f t="shared" si="19"/>
        <v>6.8870000000000005</v>
      </c>
      <c r="Y87" s="17"/>
      <c r="Z87" s="155"/>
      <c r="AA87" s="155"/>
      <c r="AB87" s="155"/>
      <c r="AC87" s="155"/>
      <c r="AD87" s="50"/>
    </row>
    <row r="88" spans="2:30"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17">
        <f t="shared" si="13"/>
        <v>0</v>
      </c>
      <c r="Q88" s="17">
        <f t="shared" si="14"/>
        <v>0</v>
      </c>
      <c r="R88" s="17">
        <f t="shared" si="15"/>
        <v>0.8909999999999982</v>
      </c>
      <c r="S88" s="17">
        <f t="shared" si="16"/>
        <v>0.4454999999999991</v>
      </c>
      <c r="T88" s="17">
        <f t="shared" si="17"/>
        <v>26.7305</v>
      </c>
      <c r="U88" s="17">
        <f t="shared" si="11"/>
        <v>26.448215613647207</v>
      </c>
      <c r="V88" s="17">
        <f t="shared" si="12"/>
        <v>26.453760171245456</v>
      </c>
      <c r="W88" s="17">
        <f t="shared" si="18"/>
        <v>0.7222398287545424</v>
      </c>
      <c r="X88" s="17">
        <f t="shared" si="19"/>
        <v>0.8909999999999982</v>
      </c>
      <c r="Y88" s="17"/>
      <c r="Z88" s="155"/>
      <c r="AA88" s="155"/>
      <c r="AB88" s="155"/>
      <c r="AC88" s="155"/>
      <c r="AD88" s="50"/>
    </row>
    <row r="89" spans="2:30"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17">
        <f t="shared" si="13"/>
        <v>0</v>
      </c>
      <c r="Q89" s="17">
        <f t="shared" si="14"/>
        <v>0</v>
      </c>
      <c r="R89" s="17">
        <f t="shared" si="15"/>
        <v>2.301</v>
      </c>
      <c r="S89" s="17">
        <f t="shared" si="16"/>
        <v>1.1505</v>
      </c>
      <c r="T89" s="17">
        <f t="shared" si="17"/>
        <v>7.0315</v>
      </c>
      <c r="U89" s="17">
        <f t="shared" si="11"/>
        <v>6.957244648897714</v>
      </c>
      <c r="V89" s="17">
        <f t="shared" si="12"/>
        <v>6.958703153480572</v>
      </c>
      <c r="W89" s="17">
        <f t="shared" si="18"/>
        <v>1.2232968465194283</v>
      </c>
      <c r="X89" s="17">
        <f t="shared" si="19"/>
        <v>2.301</v>
      </c>
      <c r="Y89" s="17"/>
      <c r="Z89" s="155"/>
      <c r="AA89" s="155"/>
      <c r="AB89" s="155"/>
      <c r="AC89" s="155"/>
      <c r="AD89" s="50"/>
    </row>
    <row r="90" spans="2:30"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17">
        <f t="shared" si="13"/>
        <v>0</v>
      </c>
      <c r="Q90" s="17">
        <f t="shared" si="14"/>
        <v>0</v>
      </c>
      <c r="R90" s="17">
        <f t="shared" si="15"/>
        <v>4.18</v>
      </c>
      <c r="S90" s="17">
        <f t="shared" si="16"/>
        <v>2.09</v>
      </c>
      <c r="T90" s="17">
        <f t="shared" si="17"/>
        <v>38.018</v>
      </c>
      <c r="U90" s="17">
        <f t="shared" si="11"/>
        <v>37.61651526157908</v>
      </c>
      <c r="V90" s="17">
        <f t="shared" si="12"/>
        <v>37.62440112195469</v>
      </c>
      <c r="W90" s="17">
        <f t="shared" si="18"/>
        <v>2.4835988780453064</v>
      </c>
      <c r="X90" s="17">
        <f t="shared" si="19"/>
        <v>4.18</v>
      </c>
      <c r="Y90" s="17"/>
      <c r="Z90" s="155"/>
      <c r="AA90" s="155"/>
      <c r="AB90" s="155"/>
      <c r="AC90" s="155"/>
      <c r="AD90" s="50"/>
    </row>
    <row r="91" spans="2:30"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17">
        <f t="shared" si="13"/>
        <v>0</v>
      </c>
      <c r="Q91" s="17">
        <f t="shared" si="14"/>
        <v>0</v>
      </c>
      <c r="R91" s="17">
        <f t="shared" si="15"/>
        <v>12.828000000000003</v>
      </c>
      <c r="S91" s="17">
        <f t="shared" si="16"/>
        <v>6.4140000000000015</v>
      </c>
      <c r="T91" s="17">
        <f t="shared" si="17"/>
        <v>71.179</v>
      </c>
      <c r="U91" s="17">
        <f t="shared" si="11"/>
        <v>70.42732231584874</v>
      </c>
      <c r="V91" s="17">
        <f t="shared" si="12"/>
        <v>70.44208657634839</v>
      </c>
      <c r="W91" s="17">
        <f t="shared" si="18"/>
        <v>7.150913423651616</v>
      </c>
      <c r="X91" s="17">
        <f t="shared" si="19"/>
        <v>12.828000000000003</v>
      </c>
      <c r="Y91" s="17"/>
      <c r="Z91" s="155"/>
      <c r="AA91" s="155"/>
      <c r="AB91" s="155"/>
      <c r="AC91" s="155"/>
      <c r="AD91" s="50"/>
    </row>
    <row r="92" spans="2:30"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17">
        <f t="shared" si="13"/>
        <v>0</v>
      </c>
      <c r="Q92" s="17">
        <f t="shared" si="14"/>
        <v>0</v>
      </c>
      <c r="R92" s="17">
        <f t="shared" si="15"/>
        <v>0.8390000000000004</v>
      </c>
      <c r="S92" s="17">
        <f t="shared" si="16"/>
        <v>0.4195000000000002</v>
      </c>
      <c r="T92" s="17">
        <f t="shared" si="17"/>
        <v>10.5775</v>
      </c>
      <c r="U92" s="17">
        <f t="shared" si="11"/>
        <v>10.465797521683221</v>
      </c>
      <c r="V92" s="17">
        <f t="shared" si="12"/>
        <v>10.46799155314524</v>
      </c>
      <c r="W92" s="17">
        <f t="shared" si="18"/>
        <v>0.5290084468547605</v>
      </c>
      <c r="X92" s="17">
        <f t="shared" si="19"/>
        <v>0.8390000000000004</v>
      </c>
      <c r="Y92" s="17"/>
      <c r="Z92" s="155"/>
      <c r="AA92" s="155"/>
      <c r="AB92" s="155"/>
      <c r="AC92" s="155"/>
      <c r="AD92" s="50"/>
    </row>
    <row r="93" spans="2:30"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17">
        <f t="shared" si="13"/>
        <v>0</v>
      </c>
      <c r="Q93" s="17">
        <f t="shared" si="14"/>
        <v>0</v>
      </c>
      <c r="R93" s="17">
        <f t="shared" si="15"/>
        <v>1.2910000000000004</v>
      </c>
      <c r="S93" s="17">
        <f t="shared" si="16"/>
        <v>0.6455000000000002</v>
      </c>
      <c r="T93" s="17">
        <f t="shared" si="17"/>
        <v>7.1745</v>
      </c>
      <c r="U93" s="17">
        <f t="shared" si="11"/>
        <v>7.098734513761879</v>
      </c>
      <c r="V93" s="17">
        <f t="shared" si="12"/>
        <v>7.100222680032193</v>
      </c>
      <c r="W93" s="17">
        <f t="shared" si="18"/>
        <v>0.7197773199678075</v>
      </c>
      <c r="X93" s="17">
        <f t="shared" si="19"/>
        <v>1.2910000000000004</v>
      </c>
      <c r="Y93" s="17"/>
      <c r="Z93" s="155"/>
      <c r="AA93" s="155"/>
      <c r="AB93" s="155"/>
      <c r="AC93" s="155"/>
      <c r="AD93" s="50"/>
    </row>
    <row r="94" spans="2:30"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17">
        <f t="shared" si="13"/>
        <v>0</v>
      </c>
      <c r="Q94" s="17">
        <f t="shared" si="14"/>
        <v>0</v>
      </c>
      <c r="R94" s="17">
        <f t="shared" si="15"/>
        <v>3.9819999999999993</v>
      </c>
      <c r="S94" s="17">
        <f t="shared" si="16"/>
        <v>1.9909999999999997</v>
      </c>
      <c r="T94" s="17">
        <f t="shared" si="17"/>
        <v>47.902</v>
      </c>
      <c r="U94" s="17">
        <f t="shared" si="11"/>
        <v>47.39613641065182</v>
      </c>
      <c r="V94" s="17">
        <f t="shared" si="12"/>
        <v>47.40607245367651</v>
      </c>
      <c r="W94" s="17">
        <f t="shared" si="18"/>
        <v>2.4869275463234928</v>
      </c>
      <c r="X94" s="17">
        <f t="shared" si="19"/>
        <v>3.9819999999999993</v>
      </c>
      <c r="Y94" s="17"/>
      <c r="Z94" s="155"/>
      <c r="AA94" s="155"/>
      <c r="AB94" s="155"/>
      <c r="AC94" s="155"/>
      <c r="AD94" s="50"/>
    </row>
    <row r="95" spans="2:30"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17">
        <f t="shared" si="13"/>
        <v>0.07900000000000063</v>
      </c>
      <c r="Q95" s="17">
        <f t="shared" si="14"/>
        <v>0.03950000000000031</v>
      </c>
      <c r="R95" s="17">
        <f t="shared" si="15"/>
        <v>0</v>
      </c>
      <c r="S95" s="17">
        <f t="shared" si="16"/>
        <v>0</v>
      </c>
      <c r="T95" s="17">
        <f t="shared" si="17"/>
        <v>24.6945</v>
      </c>
      <c r="U95" s="17">
        <f t="shared" si="11"/>
        <v>24.433716558658126</v>
      </c>
      <c r="V95" s="17">
        <f t="shared" si="12"/>
        <v>24.438838800202802</v>
      </c>
      <c r="W95" s="17">
        <f t="shared" si="18"/>
        <v>0.21616119979719883</v>
      </c>
      <c r="X95" s="17">
        <f t="shared" si="19"/>
        <v>-0.07900000000000063</v>
      </c>
      <c r="Y95" s="17"/>
      <c r="Z95" s="155"/>
      <c r="AA95" s="155"/>
      <c r="AB95" s="155"/>
      <c r="AC95" s="155"/>
      <c r="AD95" s="50"/>
    </row>
    <row r="96" spans="2:30"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17">
        <f t="shared" si="13"/>
        <v>0.7960000000000065</v>
      </c>
      <c r="Q96" s="17">
        <f t="shared" si="14"/>
        <v>0.39800000000000324</v>
      </c>
      <c r="R96" s="17">
        <f t="shared" si="15"/>
        <v>0</v>
      </c>
      <c r="S96" s="17">
        <f t="shared" si="16"/>
        <v>0</v>
      </c>
      <c r="T96" s="17">
        <f t="shared" si="17"/>
        <v>78.78399999999999</v>
      </c>
      <c r="U96" s="17">
        <f t="shared" si="11"/>
        <v>77.95201058362476</v>
      </c>
      <c r="V96" s="17">
        <f t="shared" si="12"/>
        <v>77.96835230659366</v>
      </c>
      <c r="W96" s="17">
        <f t="shared" si="18"/>
        <v>0.41764769340633734</v>
      </c>
      <c r="X96" s="17">
        <f t="shared" si="19"/>
        <v>-0.7960000000000065</v>
      </c>
      <c r="Y96" s="17"/>
      <c r="Z96" s="155"/>
      <c r="AA96" s="155"/>
      <c r="AB96" s="155"/>
      <c r="AC96" s="155"/>
      <c r="AD96" s="50"/>
    </row>
    <row r="97" spans="2:30"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17">
        <f t="shared" si="13"/>
        <v>0</v>
      </c>
      <c r="Q97" s="17">
        <f t="shared" si="14"/>
        <v>0</v>
      </c>
      <c r="R97" s="17">
        <f t="shared" si="15"/>
        <v>0.6450000000000031</v>
      </c>
      <c r="S97" s="17">
        <f t="shared" si="16"/>
        <v>0.32250000000000156</v>
      </c>
      <c r="T97" s="17">
        <f t="shared" si="17"/>
        <v>36.6495</v>
      </c>
      <c r="U97" s="17">
        <f t="shared" si="11"/>
        <v>36.262467149225174</v>
      </c>
      <c r="V97" s="17">
        <f t="shared" si="12"/>
        <v>36.27006914932607</v>
      </c>
      <c r="W97" s="17">
        <f t="shared" si="18"/>
        <v>0.7019308506739321</v>
      </c>
      <c r="X97" s="17">
        <f t="shared" si="19"/>
        <v>0.6450000000000031</v>
      </c>
      <c r="Y97" s="17"/>
      <c r="Z97" s="155"/>
      <c r="AA97" s="155"/>
      <c r="AB97" s="155"/>
      <c r="AC97" s="155"/>
      <c r="AD97" s="50"/>
    </row>
    <row r="98" spans="2:30"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17">
        <f t="shared" si="13"/>
        <v>0.6229999999999993</v>
      </c>
      <c r="Q98" s="17">
        <f t="shared" si="14"/>
        <v>0.31149999999999967</v>
      </c>
      <c r="R98" s="17">
        <f t="shared" si="15"/>
        <v>0</v>
      </c>
      <c r="S98" s="17">
        <f t="shared" si="16"/>
        <v>0</v>
      </c>
      <c r="T98" s="17">
        <f t="shared" si="17"/>
        <v>13.756499999999999</v>
      </c>
      <c r="U98" s="17">
        <f t="shared" si="11"/>
        <v>13.611226055971185</v>
      </c>
      <c r="V98" s="17">
        <f t="shared" si="12"/>
        <v>13.614079489562041</v>
      </c>
      <c r="W98" s="17">
        <f t="shared" si="18"/>
        <v>-0.16907948956204066</v>
      </c>
      <c r="X98" s="17">
        <f t="shared" si="19"/>
        <v>-0.6229999999999993</v>
      </c>
      <c r="Y98" s="17"/>
      <c r="Z98" s="155"/>
      <c r="AA98" s="155"/>
      <c r="AB98" s="155"/>
      <c r="AC98" s="155"/>
      <c r="AD98" s="50"/>
    </row>
    <row r="99" spans="2:30"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17">
        <f t="shared" si="13"/>
        <v>0</v>
      </c>
      <c r="Q99" s="17">
        <f t="shared" si="14"/>
        <v>0</v>
      </c>
      <c r="R99" s="17">
        <f t="shared" si="15"/>
        <v>0</v>
      </c>
      <c r="S99" s="17">
        <f t="shared" si="16"/>
        <v>0</v>
      </c>
      <c r="T99" s="17">
        <f t="shared" si="17"/>
        <v>25.769</v>
      </c>
      <c r="U99" s="17">
        <f t="shared" si="11"/>
        <v>25.496869424368224</v>
      </c>
      <c r="V99" s="17">
        <f t="shared" si="12"/>
        <v>25.5022145434176</v>
      </c>
      <c r="W99" s="17">
        <f t="shared" si="18"/>
        <v>0.26678545658239017</v>
      </c>
      <c r="X99" s="17">
        <f t="shared" si="19"/>
        <v>0</v>
      </c>
      <c r="Y99" s="17"/>
      <c r="Z99" s="155"/>
      <c r="AA99" s="155"/>
      <c r="AB99" s="155"/>
      <c r="AC99" s="155"/>
      <c r="AD99" s="50"/>
    </row>
    <row r="100" spans="2:30"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17">
        <f t="shared" si="13"/>
        <v>3.284000000000006</v>
      </c>
      <c r="Q100" s="17">
        <f t="shared" si="14"/>
        <v>1.642000000000003</v>
      </c>
      <c r="R100" s="17">
        <f t="shared" si="15"/>
        <v>0</v>
      </c>
      <c r="S100" s="17">
        <f t="shared" si="16"/>
        <v>0</v>
      </c>
      <c r="T100" s="17">
        <f t="shared" si="17"/>
        <v>70.34299999999999</v>
      </c>
      <c r="U100" s="17">
        <f aca="true" t="shared" si="20" ref="U100:U131">MAX(T100*$Z$18,$T$1)</f>
        <v>69.6001507981813</v>
      </c>
      <c r="V100" s="17">
        <f aca="true" t="shared" si="21" ref="V100:V131">T100*$Z$19</f>
        <v>69.61474165189274</v>
      </c>
      <c r="W100" s="17">
        <f t="shared" si="18"/>
        <v>-0.9137416518927495</v>
      </c>
      <c r="X100" s="17">
        <f t="shared" si="19"/>
        <v>-3.284000000000006</v>
      </c>
      <c r="Y100" s="17"/>
      <c r="Z100" s="155"/>
      <c r="AA100" s="155"/>
      <c r="AB100" s="155"/>
      <c r="AC100" s="155"/>
      <c r="AD100" s="50"/>
    </row>
    <row r="101" spans="2:30"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17">
        <f t="shared" si="13"/>
        <v>0</v>
      </c>
      <c r="Q101" s="17">
        <f t="shared" si="14"/>
        <v>0</v>
      </c>
      <c r="R101" s="17">
        <f t="shared" si="15"/>
        <v>5.344999999999999</v>
      </c>
      <c r="S101" s="17">
        <f t="shared" si="16"/>
        <v>2.6724999999999994</v>
      </c>
      <c r="T101" s="17">
        <f t="shared" si="17"/>
        <v>33.1325</v>
      </c>
      <c r="U101" s="17">
        <f t="shared" si="20"/>
        <v>32.78260802525827</v>
      </c>
      <c r="V101" s="17">
        <f t="shared" si="21"/>
        <v>32.789480513787254</v>
      </c>
      <c r="W101" s="17">
        <f t="shared" si="18"/>
        <v>3.015519486212746</v>
      </c>
      <c r="X101" s="17">
        <f t="shared" si="19"/>
        <v>5.344999999999999</v>
      </c>
      <c r="Y101" s="17"/>
      <c r="Z101" s="155"/>
      <c r="AA101" s="155"/>
      <c r="AB101" s="155"/>
      <c r="AC101" s="155"/>
      <c r="AD101" s="50"/>
    </row>
    <row r="102" spans="2:30"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17">
        <f t="shared" si="13"/>
        <v>1.1939999999999955</v>
      </c>
      <c r="Q102" s="17">
        <f t="shared" si="14"/>
        <v>0.5969999999999978</v>
      </c>
      <c r="R102" s="17">
        <f t="shared" si="15"/>
        <v>0</v>
      </c>
      <c r="S102" s="17">
        <f t="shared" si="16"/>
        <v>0</v>
      </c>
      <c r="T102" s="17">
        <f t="shared" si="17"/>
        <v>36.004999999999995</v>
      </c>
      <c r="U102" s="17">
        <f t="shared" si="20"/>
        <v>35.62477331772199</v>
      </c>
      <c r="V102" s="17">
        <f t="shared" si="21"/>
        <v>35.63224163280495</v>
      </c>
      <c r="W102" s="17">
        <f t="shared" si="18"/>
        <v>-0.22424163280494724</v>
      </c>
      <c r="X102" s="17">
        <f t="shared" si="19"/>
        <v>-1.1939999999999955</v>
      </c>
      <c r="Y102" s="17"/>
      <c r="Z102" s="155"/>
      <c r="AA102" s="155"/>
      <c r="AB102" s="155"/>
      <c r="AC102" s="155"/>
      <c r="AD102" s="50"/>
    </row>
    <row r="103" spans="2:30"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17">
        <f t="shared" si="13"/>
        <v>0</v>
      </c>
      <c r="Q103" s="17">
        <f t="shared" si="14"/>
        <v>0</v>
      </c>
      <c r="R103" s="17">
        <f t="shared" si="15"/>
        <v>3.478999999999999</v>
      </c>
      <c r="S103" s="17">
        <f t="shared" si="16"/>
        <v>1.7394999999999996</v>
      </c>
      <c r="T103" s="17">
        <f t="shared" si="17"/>
        <v>20.2545</v>
      </c>
      <c r="U103" s="17">
        <f t="shared" si="20"/>
        <v>20.04060467056798</v>
      </c>
      <c r="V103" s="17">
        <f t="shared" si="21"/>
        <v>20.0448059478308</v>
      </c>
      <c r="W103" s="17">
        <f t="shared" si="18"/>
        <v>1.9491940521692008</v>
      </c>
      <c r="X103" s="17">
        <f t="shared" si="19"/>
        <v>3.478999999999999</v>
      </c>
      <c r="Y103" s="17"/>
      <c r="Z103" s="155"/>
      <c r="AA103" s="155"/>
      <c r="AB103" s="155"/>
      <c r="AC103" s="155"/>
      <c r="AD103" s="50"/>
    </row>
    <row r="104" spans="2:30"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17">
        <f t="shared" si="13"/>
        <v>0</v>
      </c>
      <c r="Q104" s="17">
        <f t="shared" si="14"/>
        <v>0</v>
      </c>
      <c r="R104" s="17">
        <f t="shared" si="15"/>
        <v>0.4139999999999997</v>
      </c>
      <c r="S104" s="17">
        <f t="shared" si="16"/>
        <v>0.20699999999999985</v>
      </c>
      <c r="T104" s="17">
        <f t="shared" si="17"/>
        <v>5</v>
      </c>
      <c r="U104" s="17">
        <f t="shared" si="20"/>
        <v>5</v>
      </c>
      <c r="V104" s="17">
        <f t="shared" si="21"/>
        <v>4.948235194112616</v>
      </c>
      <c r="W104" s="17">
        <f t="shared" si="18"/>
        <v>-2.161235194112616</v>
      </c>
      <c r="X104" s="17">
        <f t="shared" si="19"/>
        <v>0.4139999999999997</v>
      </c>
      <c r="Y104" s="17"/>
      <c r="Z104" s="155"/>
      <c r="AA104" s="155"/>
      <c r="AB104" s="155"/>
      <c r="AC104" s="155"/>
      <c r="AD104" s="50"/>
    </row>
    <row r="105" spans="2:30"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17">
        <f t="shared" si="13"/>
        <v>0.35900000000000176</v>
      </c>
      <c r="Q105" s="17">
        <f t="shared" si="14"/>
        <v>0.17950000000000088</v>
      </c>
      <c r="R105" s="17">
        <f t="shared" si="15"/>
        <v>0</v>
      </c>
      <c r="S105" s="17">
        <f t="shared" si="16"/>
        <v>0</v>
      </c>
      <c r="T105" s="17">
        <f t="shared" si="17"/>
        <v>38.5115</v>
      </c>
      <c r="U105" s="17">
        <f t="shared" si="20"/>
        <v>38.10480371130261</v>
      </c>
      <c r="V105" s="17">
        <f t="shared" si="21"/>
        <v>38.1127919356136</v>
      </c>
      <c r="W105" s="17">
        <f t="shared" si="18"/>
        <v>0.21920806438640028</v>
      </c>
      <c r="X105" s="17">
        <f t="shared" si="19"/>
        <v>-0.35900000000000176</v>
      </c>
      <c r="Y105" s="17"/>
      <c r="Z105" s="155"/>
      <c r="AA105" s="155"/>
      <c r="AB105" s="155"/>
      <c r="AC105" s="155"/>
      <c r="AD105" s="50"/>
    </row>
    <row r="106" spans="2:30"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17">
        <f t="shared" si="13"/>
        <v>16.256999999999998</v>
      </c>
      <c r="Q106" s="17">
        <f t="shared" si="14"/>
        <v>8.128499999999999</v>
      </c>
      <c r="R106" s="17">
        <f t="shared" si="15"/>
        <v>0</v>
      </c>
      <c r="S106" s="17">
        <f t="shared" si="16"/>
        <v>0</v>
      </c>
      <c r="T106" s="17">
        <f t="shared" si="17"/>
        <v>23.2605</v>
      </c>
      <c r="U106" s="17">
        <f t="shared" si="20"/>
        <v>23.01486015155874</v>
      </c>
      <c r="V106" s="17">
        <f t="shared" si="21"/>
        <v>23.019684946531303</v>
      </c>
      <c r="W106" s="17">
        <f t="shared" si="18"/>
        <v>-7.887684946531303</v>
      </c>
      <c r="X106" s="17">
        <f t="shared" si="19"/>
        <v>-16.256999999999998</v>
      </c>
      <c r="Y106" s="17"/>
      <c r="Z106" s="155"/>
      <c r="AA106" s="155"/>
      <c r="AB106" s="155"/>
      <c r="AC106" s="155"/>
      <c r="AD106" s="50"/>
    </row>
    <row r="107" spans="2:30"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17">
        <f t="shared" si="13"/>
        <v>64.86699999999996</v>
      </c>
      <c r="Q107" s="17">
        <f t="shared" si="14"/>
        <v>32.43349999999998</v>
      </c>
      <c r="R107" s="17">
        <f t="shared" si="15"/>
        <v>0</v>
      </c>
      <c r="S107" s="17">
        <f t="shared" si="16"/>
        <v>0</v>
      </c>
      <c r="T107" s="17">
        <f t="shared" si="17"/>
        <v>491.47749999999996</v>
      </c>
      <c r="U107" s="17">
        <f t="shared" si="20"/>
        <v>486.28730810333866</v>
      </c>
      <c r="V107" s="17">
        <f t="shared" si="21"/>
        <v>486.38925252289664</v>
      </c>
      <c r="W107" s="17">
        <f t="shared" si="18"/>
        <v>-27.345252522896658</v>
      </c>
      <c r="X107" s="17">
        <f t="shared" si="19"/>
        <v>-64.86699999999996</v>
      </c>
      <c r="Y107" s="17"/>
      <c r="Z107" s="155"/>
      <c r="AA107" s="155"/>
      <c r="AB107" s="155"/>
      <c r="AC107" s="155"/>
      <c r="AD107" s="50"/>
    </row>
    <row r="108" spans="2:30"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17">
        <f t="shared" si="13"/>
        <v>0</v>
      </c>
      <c r="Q108" s="17">
        <f t="shared" si="14"/>
        <v>0</v>
      </c>
      <c r="R108" s="17">
        <f t="shared" si="15"/>
        <v>0.009999999999999787</v>
      </c>
      <c r="S108" s="17">
        <f t="shared" si="16"/>
        <v>0.004999999999999893</v>
      </c>
      <c r="T108" s="17">
        <f t="shared" si="17"/>
        <v>15.911999999999999</v>
      </c>
      <c r="U108" s="17">
        <f t="shared" si="20"/>
        <v>15.74396314488522</v>
      </c>
      <c r="V108" s="17">
        <f t="shared" si="21"/>
        <v>15.74726368174399</v>
      </c>
      <c r="W108" s="17">
        <f t="shared" si="18"/>
        <v>0.16973631825601032</v>
      </c>
      <c r="X108" s="17">
        <f t="shared" si="19"/>
        <v>0.009999999999999787</v>
      </c>
      <c r="Y108" s="17"/>
      <c r="Z108" s="155"/>
      <c r="AA108" s="155"/>
      <c r="AB108" s="155"/>
      <c r="AC108" s="155"/>
      <c r="AD108" s="50"/>
    </row>
    <row r="109" spans="2:30"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17">
        <f t="shared" si="13"/>
        <v>84.0340000000001</v>
      </c>
      <c r="Q109" s="17">
        <f t="shared" si="14"/>
        <v>42.01700000000005</v>
      </c>
      <c r="R109" s="17">
        <f t="shared" si="15"/>
        <v>0</v>
      </c>
      <c r="S109" s="17">
        <f t="shared" si="16"/>
        <v>0</v>
      </c>
      <c r="T109" s="17">
        <f t="shared" si="17"/>
        <v>757.053</v>
      </c>
      <c r="U109" s="17">
        <f t="shared" si="20"/>
        <v>749.0582284266459</v>
      </c>
      <c r="V109" s="17">
        <f t="shared" si="21"/>
        <v>749.2152596817077</v>
      </c>
      <c r="W109" s="17">
        <f t="shared" si="18"/>
        <v>-34.17925968170778</v>
      </c>
      <c r="X109" s="17">
        <f t="shared" si="19"/>
        <v>-84.0340000000001</v>
      </c>
      <c r="Y109" s="17"/>
      <c r="Z109" s="155"/>
      <c r="AA109" s="155"/>
      <c r="AB109" s="155"/>
      <c r="AC109" s="155"/>
      <c r="AD109" s="50"/>
    </row>
    <row r="110" spans="2:30"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17">
        <f t="shared" si="13"/>
        <v>0</v>
      </c>
      <c r="Q110" s="17">
        <f t="shared" si="14"/>
        <v>0</v>
      </c>
      <c r="R110" s="17">
        <f t="shared" si="15"/>
        <v>0.9960000000000004</v>
      </c>
      <c r="S110" s="17">
        <f t="shared" si="16"/>
        <v>0.4980000000000002</v>
      </c>
      <c r="T110" s="17">
        <f t="shared" si="17"/>
        <v>7.263</v>
      </c>
      <c r="U110" s="17">
        <f t="shared" si="20"/>
        <v>7.18629991963935</v>
      </c>
      <c r="V110" s="17">
        <f t="shared" si="21"/>
        <v>7.187806442967986</v>
      </c>
      <c r="W110" s="17">
        <f t="shared" si="18"/>
        <v>0.5731935570320141</v>
      </c>
      <c r="X110" s="17">
        <f t="shared" si="19"/>
        <v>0.9960000000000004</v>
      </c>
      <c r="Y110" s="17"/>
      <c r="Z110" s="155"/>
      <c r="AA110" s="155"/>
      <c r="AB110" s="155"/>
      <c r="AC110" s="155"/>
      <c r="AD110" s="50"/>
    </row>
    <row r="111" spans="2:30"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17">
        <f t="shared" si="13"/>
        <v>9.471000000000004</v>
      </c>
      <c r="Q111" s="17">
        <f t="shared" si="14"/>
        <v>4.735500000000002</v>
      </c>
      <c r="R111" s="17">
        <f t="shared" si="15"/>
        <v>0</v>
      </c>
      <c r="S111" s="17">
        <f t="shared" si="16"/>
        <v>0</v>
      </c>
      <c r="T111" s="17">
        <f t="shared" si="17"/>
        <v>95.9705</v>
      </c>
      <c r="U111" s="17">
        <f t="shared" si="20"/>
        <v>94.95701451710703</v>
      </c>
      <c r="V111" s="17">
        <f t="shared" si="21"/>
        <v>94.97692113931697</v>
      </c>
      <c r="W111" s="17">
        <f t="shared" si="18"/>
        <v>-3.741921139316972</v>
      </c>
      <c r="X111" s="17">
        <f t="shared" si="19"/>
        <v>-9.471000000000004</v>
      </c>
      <c r="Y111" s="17"/>
      <c r="Z111" s="155"/>
      <c r="AA111" s="155"/>
      <c r="AB111" s="155"/>
      <c r="AC111" s="155"/>
      <c r="AD111" s="50"/>
    </row>
    <row r="112" spans="2:30"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17">
        <f t="shared" si="13"/>
        <v>0</v>
      </c>
      <c r="Q112" s="17">
        <f t="shared" si="14"/>
        <v>0</v>
      </c>
      <c r="R112" s="17">
        <f t="shared" si="15"/>
        <v>1.9619999999999997</v>
      </c>
      <c r="S112" s="17">
        <f t="shared" si="16"/>
        <v>0.9809999999999999</v>
      </c>
      <c r="T112" s="17">
        <f t="shared" si="17"/>
        <v>17.412999999999997</v>
      </c>
      <c r="U112" s="17">
        <f t="shared" si="20"/>
        <v>17.229112006151727</v>
      </c>
      <c r="V112" s="17">
        <f t="shared" si="21"/>
        <v>17.232723887016594</v>
      </c>
      <c r="W112" s="17">
        <f t="shared" si="18"/>
        <v>1.1612761129834048</v>
      </c>
      <c r="X112" s="17">
        <f t="shared" si="19"/>
        <v>1.9619999999999997</v>
      </c>
      <c r="Y112" s="17"/>
      <c r="Z112" s="155"/>
      <c r="AA112" s="155"/>
      <c r="AB112" s="155"/>
      <c r="AC112" s="155"/>
      <c r="AD112" s="50"/>
    </row>
    <row r="113" spans="2:30"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17">
        <f t="shared" si="13"/>
        <v>35.164999999999964</v>
      </c>
      <c r="Q113" s="17">
        <f t="shared" si="14"/>
        <v>17.582499999999982</v>
      </c>
      <c r="R113" s="17">
        <f t="shared" si="15"/>
        <v>0</v>
      </c>
      <c r="S113" s="17">
        <f t="shared" si="16"/>
        <v>0</v>
      </c>
      <c r="T113" s="17">
        <f t="shared" si="17"/>
        <v>384.8075</v>
      </c>
      <c r="U113" s="17">
        <f t="shared" si="20"/>
        <v>380.7437844315874</v>
      </c>
      <c r="V113" s="17">
        <f t="shared" si="21"/>
        <v>380.8236028916981</v>
      </c>
      <c r="W113" s="17">
        <f t="shared" si="18"/>
        <v>-13.598602891698079</v>
      </c>
      <c r="X113" s="17">
        <f t="shared" si="19"/>
        <v>-35.164999999999964</v>
      </c>
      <c r="Y113" s="17"/>
      <c r="Z113" s="155"/>
      <c r="AA113" s="155"/>
      <c r="AB113" s="155"/>
      <c r="AC113" s="155"/>
      <c r="AD113" s="50"/>
    </row>
    <row r="114" spans="2:30"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17">
        <f t="shared" si="13"/>
        <v>0</v>
      </c>
      <c r="Q114" s="17">
        <f t="shared" si="14"/>
        <v>0</v>
      </c>
      <c r="R114" s="17">
        <f t="shared" si="15"/>
        <v>0.5359999999999996</v>
      </c>
      <c r="S114" s="17">
        <f t="shared" si="16"/>
        <v>0.2679999999999998</v>
      </c>
      <c r="T114" s="17">
        <f t="shared" si="17"/>
        <v>11.3</v>
      </c>
      <c r="U114" s="17">
        <f t="shared" si="20"/>
        <v>11.180667643112304</v>
      </c>
      <c r="V114" s="17">
        <f t="shared" si="21"/>
        <v>11.183011538694513</v>
      </c>
      <c r="W114" s="17">
        <f t="shared" si="18"/>
        <v>0.38498846130548614</v>
      </c>
      <c r="X114" s="17">
        <f t="shared" si="19"/>
        <v>0.5359999999999996</v>
      </c>
      <c r="Y114" s="17"/>
      <c r="Z114" s="155"/>
      <c r="AA114" s="155"/>
      <c r="AB114" s="155"/>
      <c r="AC114" s="155"/>
      <c r="AD114" s="50"/>
    </row>
    <row r="115" spans="2:30"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17">
        <f t="shared" si="13"/>
        <v>0</v>
      </c>
      <c r="Q115" s="17">
        <f t="shared" si="14"/>
        <v>0</v>
      </c>
      <c r="R115" s="17">
        <f t="shared" si="15"/>
        <v>0.09899999999999665</v>
      </c>
      <c r="S115" s="17">
        <f t="shared" si="16"/>
        <v>0.04949999999999832</v>
      </c>
      <c r="T115" s="17">
        <f t="shared" si="17"/>
        <v>56.078500000000005</v>
      </c>
      <c r="U115" s="17">
        <f t="shared" si="20"/>
        <v>55.48628941807729</v>
      </c>
      <c r="V115" s="17">
        <f t="shared" si="21"/>
        <v>55.49792146660887</v>
      </c>
      <c r="W115" s="17">
        <f t="shared" si="18"/>
        <v>0.6300785333911278</v>
      </c>
      <c r="X115" s="17">
        <f t="shared" si="19"/>
        <v>0.09899999999999665</v>
      </c>
      <c r="Y115" s="17"/>
      <c r="Z115" s="155"/>
      <c r="AA115" s="155"/>
      <c r="AB115" s="155"/>
      <c r="AC115" s="155"/>
      <c r="AD115" s="50"/>
    </row>
    <row r="116" spans="2:30"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17">
        <f t="shared" si="13"/>
        <v>0</v>
      </c>
      <c r="Q116" s="17">
        <f t="shared" si="14"/>
        <v>0</v>
      </c>
      <c r="R116" s="17">
        <f t="shared" si="15"/>
        <v>0.02200000000000024</v>
      </c>
      <c r="S116" s="17">
        <f t="shared" si="16"/>
        <v>0.01100000000000012</v>
      </c>
      <c r="T116" s="17">
        <f t="shared" si="17"/>
        <v>5</v>
      </c>
      <c r="U116" s="17">
        <f t="shared" si="20"/>
        <v>5</v>
      </c>
      <c r="V116" s="17">
        <f t="shared" si="21"/>
        <v>4.948235194112616</v>
      </c>
      <c r="W116" s="17">
        <f t="shared" si="18"/>
        <v>-2.905235194112616</v>
      </c>
      <c r="X116" s="17">
        <f t="shared" si="19"/>
        <v>0.02200000000000024</v>
      </c>
      <c r="Y116" s="17"/>
      <c r="Z116" s="155"/>
      <c r="AA116" s="155"/>
      <c r="AB116" s="155"/>
      <c r="AC116" s="155"/>
      <c r="AD116" s="50"/>
    </row>
    <row r="117" spans="2:30"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17">
        <f t="shared" si="13"/>
        <v>0.19700000000000006</v>
      </c>
      <c r="Q117" s="17">
        <f t="shared" si="14"/>
        <v>0.09850000000000003</v>
      </c>
      <c r="R117" s="17">
        <f t="shared" si="15"/>
        <v>0</v>
      </c>
      <c r="S117" s="17">
        <f t="shared" si="16"/>
        <v>0</v>
      </c>
      <c r="T117" s="17">
        <f t="shared" si="17"/>
        <v>5</v>
      </c>
      <c r="U117" s="17">
        <f t="shared" si="20"/>
        <v>5</v>
      </c>
      <c r="V117" s="17">
        <f t="shared" si="21"/>
        <v>4.948235194112616</v>
      </c>
      <c r="W117" s="17">
        <f t="shared" si="18"/>
        <v>-0.3372351941126164</v>
      </c>
      <c r="X117" s="17">
        <f t="shared" si="19"/>
        <v>-0.19700000000000006</v>
      </c>
      <c r="Y117" s="17"/>
      <c r="Z117" s="155"/>
      <c r="AA117" s="155"/>
      <c r="AB117" s="155"/>
      <c r="AC117" s="155"/>
      <c r="AD117" s="50"/>
    </row>
    <row r="118" spans="2:30"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17">
        <f t="shared" si="13"/>
        <v>0</v>
      </c>
      <c r="Q118" s="17">
        <f t="shared" si="14"/>
        <v>0</v>
      </c>
      <c r="R118" s="17">
        <f t="shared" si="15"/>
        <v>108.73</v>
      </c>
      <c r="S118" s="17">
        <f t="shared" si="16"/>
        <v>54.365</v>
      </c>
      <c r="T118" s="17">
        <f t="shared" si="17"/>
        <v>167.588</v>
      </c>
      <c r="U118" s="17">
        <f t="shared" si="20"/>
        <v>165.8182061038854</v>
      </c>
      <c r="V118" s="17">
        <f t="shared" si="21"/>
        <v>165.85296794218903</v>
      </c>
      <c r="W118" s="17">
        <f t="shared" si="18"/>
        <v>56.10003205781098</v>
      </c>
      <c r="X118" s="17">
        <f t="shared" si="19"/>
        <v>108.73</v>
      </c>
      <c r="Y118" s="17"/>
      <c r="Z118" s="155"/>
      <c r="AA118" s="155"/>
      <c r="AB118" s="155"/>
      <c r="AC118" s="155"/>
      <c r="AD118" s="50"/>
    </row>
    <row r="119" spans="2:30"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17">
        <f t="shared" si="13"/>
        <v>0</v>
      </c>
      <c r="Q119" s="17">
        <f t="shared" si="14"/>
        <v>0</v>
      </c>
      <c r="R119" s="17">
        <f t="shared" si="15"/>
        <v>8.630999999999997</v>
      </c>
      <c r="S119" s="17">
        <f t="shared" si="16"/>
        <v>4.315499999999998</v>
      </c>
      <c r="T119" s="17">
        <f t="shared" si="17"/>
        <v>34.2925</v>
      </c>
      <c r="U119" s="17">
        <f t="shared" si="20"/>
        <v>33.93035797800253</v>
      </c>
      <c r="V119" s="17">
        <f t="shared" si="21"/>
        <v>33.937471078821375</v>
      </c>
      <c r="W119" s="17">
        <f t="shared" si="18"/>
        <v>4.670528921178622</v>
      </c>
      <c r="X119" s="17">
        <f t="shared" si="19"/>
        <v>8.630999999999997</v>
      </c>
      <c r="Y119" s="17"/>
      <c r="Z119" s="155"/>
      <c r="AA119" s="155"/>
      <c r="AB119" s="155"/>
      <c r="AC119" s="155"/>
      <c r="AD119" s="50"/>
    </row>
    <row r="120" spans="2:30"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17">
        <f t="shared" si="13"/>
        <v>0</v>
      </c>
      <c r="Q120" s="17">
        <f t="shared" si="14"/>
        <v>0</v>
      </c>
      <c r="R120" s="17">
        <f t="shared" si="15"/>
        <v>0.21000000000000002</v>
      </c>
      <c r="S120" s="17">
        <f t="shared" si="16"/>
        <v>0.10500000000000001</v>
      </c>
      <c r="T120" s="17">
        <f t="shared" si="17"/>
        <v>5</v>
      </c>
      <c r="U120" s="17">
        <f t="shared" si="20"/>
        <v>5</v>
      </c>
      <c r="V120" s="17">
        <f t="shared" si="21"/>
        <v>4.948235194112616</v>
      </c>
      <c r="W120" s="17">
        <f t="shared" si="18"/>
        <v>-4.280235194112616</v>
      </c>
      <c r="X120" s="17">
        <f t="shared" si="19"/>
        <v>0.21000000000000002</v>
      </c>
      <c r="Y120" s="17"/>
      <c r="Z120" s="155"/>
      <c r="AA120" s="155"/>
      <c r="AB120" s="155"/>
      <c r="AC120" s="155"/>
      <c r="AD120" s="50"/>
    </row>
    <row r="121" spans="2:30"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17">
        <f t="shared" si="13"/>
        <v>0</v>
      </c>
      <c r="Q121" s="17">
        <f t="shared" si="14"/>
        <v>0</v>
      </c>
      <c r="R121" s="17">
        <f t="shared" si="15"/>
        <v>0.11099999999999999</v>
      </c>
      <c r="S121" s="17">
        <f t="shared" si="16"/>
        <v>0.055499999999999994</v>
      </c>
      <c r="T121" s="17">
        <f t="shared" si="17"/>
        <v>5</v>
      </c>
      <c r="U121" s="17">
        <f t="shared" si="20"/>
        <v>5</v>
      </c>
      <c r="V121" s="17">
        <f t="shared" si="21"/>
        <v>4.948235194112616</v>
      </c>
      <c r="W121" s="17">
        <f t="shared" si="18"/>
        <v>-3.3102351941126162</v>
      </c>
      <c r="X121" s="17">
        <f t="shared" si="19"/>
        <v>0.11099999999999999</v>
      </c>
      <c r="Y121" s="17"/>
      <c r="Z121" s="155"/>
      <c r="AA121" s="155"/>
      <c r="AB121" s="155"/>
      <c r="AC121" s="155"/>
      <c r="AD121" s="50"/>
    </row>
    <row r="122" spans="2:30"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17">
        <f t="shared" si="13"/>
        <v>0</v>
      </c>
      <c r="Q122" s="17">
        <f t="shared" si="14"/>
        <v>0</v>
      </c>
      <c r="R122" s="17">
        <f t="shared" si="15"/>
        <v>6.281000000000002</v>
      </c>
      <c r="S122" s="17">
        <f t="shared" si="16"/>
        <v>3.140500000000001</v>
      </c>
      <c r="T122" s="17">
        <f t="shared" si="17"/>
        <v>23.561500000000002</v>
      </c>
      <c r="U122" s="17">
        <f t="shared" si="20"/>
        <v>23.31268147550359</v>
      </c>
      <c r="V122" s="17">
        <f t="shared" si="21"/>
        <v>23.317568705216885</v>
      </c>
      <c r="W122" s="17">
        <f t="shared" si="18"/>
        <v>3.3844312947831163</v>
      </c>
      <c r="X122" s="17">
        <f t="shared" si="19"/>
        <v>6.281000000000002</v>
      </c>
      <c r="Y122" s="17"/>
      <c r="Z122" s="155"/>
      <c r="AA122" s="155"/>
      <c r="AB122" s="155"/>
      <c r="AC122" s="155"/>
      <c r="AD122" s="50"/>
    </row>
    <row r="123" spans="2:30"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17">
        <f t="shared" si="13"/>
        <v>0</v>
      </c>
      <c r="Q123" s="17">
        <f t="shared" si="14"/>
        <v>0</v>
      </c>
      <c r="R123" s="17">
        <f t="shared" si="15"/>
        <v>0.5450000000000017</v>
      </c>
      <c r="S123" s="17">
        <f t="shared" si="16"/>
        <v>0.27250000000000085</v>
      </c>
      <c r="T123" s="17">
        <f t="shared" si="17"/>
        <v>36.8115</v>
      </c>
      <c r="U123" s="17">
        <f t="shared" si="20"/>
        <v>36.42275636676359</v>
      </c>
      <c r="V123" s="17">
        <f t="shared" si="21"/>
        <v>36.430391969615314</v>
      </c>
      <c r="W123" s="17">
        <f t="shared" si="18"/>
        <v>0.6536080303846887</v>
      </c>
      <c r="X123" s="17">
        <f t="shared" si="19"/>
        <v>0.5450000000000017</v>
      </c>
      <c r="Y123" s="17"/>
      <c r="Z123" s="155"/>
      <c r="AA123" s="155"/>
      <c r="AB123" s="155"/>
      <c r="AC123" s="155"/>
      <c r="AD123" s="50"/>
    </row>
    <row r="124" spans="2:30"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17">
        <f t="shared" si="13"/>
        <v>0</v>
      </c>
      <c r="Q124" s="17">
        <f t="shared" si="14"/>
        <v>0</v>
      </c>
      <c r="R124" s="17">
        <f t="shared" si="15"/>
        <v>0.2259999999999991</v>
      </c>
      <c r="S124" s="17">
        <f t="shared" si="16"/>
        <v>0.11299999999999955</v>
      </c>
      <c r="T124" s="17">
        <f t="shared" si="17"/>
        <v>27.27</v>
      </c>
      <c r="U124" s="17">
        <f t="shared" si="20"/>
        <v>26.982018285634737</v>
      </c>
      <c r="V124" s="17">
        <f t="shared" si="21"/>
        <v>26.987674748690207</v>
      </c>
      <c r="W124" s="17">
        <f t="shared" si="18"/>
        <v>0.39532525130979224</v>
      </c>
      <c r="X124" s="17">
        <f t="shared" si="19"/>
        <v>0.2259999999999991</v>
      </c>
      <c r="Y124" s="17"/>
      <c r="Z124" s="155"/>
      <c r="AA124" s="155"/>
      <c r="AB124" s="155"/>
      <c r="AC124" s="155"/>
      <c r="AD124" s="50"/>
    </row>
    <row r="125" spans="2:30"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17">
        <f t="shared" si="13"/>
        <v>0</v>
      </c>
      <c r="Q125" s="17">
        <f t="shared" si="14"/>
        <v>0</v>
      </c>
      <c r="R125" s="17">
        <f t="shared" si="15"/>
        <v>5.995999999999999</v>
      </c>
      <c r="S125" s="17">
        <f t="shared" si="16"/>
        <v>2.9979999999999993</v>
      </c>
      <c r="T125" s="17">
        <f t="shared" si="17"/>
        <v>22.15</v>
      </c>
      <c r="U125" s="17">
        <f t="shared" si="20"/>
        <v>21.916087459728985</v>
      </c>
      <c r="V125" s="17">
        <f t="shared" si="21"/>
        <v>21.920681909918887</v>
      </c>
      <c r="W125" s="17">
        <f t="shared" si="18"/>
        <v>3.2273180900811127</v>
      </c>
      <c r="X125" s="17">
        <f t="shared" si="19"/>
        <v>5.995999999999999</v>
      </c>
      <c r="Y125" s="17"/>
      <c r="Z125" s="155"/>
      <c r="AA125" s="155"/>
      <c r="AB125" s="155"/>
      <c r="AC125" s="155"/>
      <c r="AD125" s="50"/>
    </row>
    <row r="126" spans="2:30"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17">
        <f t="shared" si="13"/>
        <v>0</v>
      </c>
      <c r="Q126" s="17">
        <f t="shared" si="14"/>
        <v>0</v>
      </c>
      <c r="R126" s="17">
        <f t="shared" si="15"/>
        <v>0.2629999999999999</v>
      </c>
      <c r="S126" s="17">
        <f t="shared" si="16"/>
        <v>0.13149999999999995</v>
      </c>
      <c r="T126" s="17">
        <f t="shared" si="17"/>
        <v>5.1365</v>
      </c>
      <c r="U126" s="17">
        <f t="shared" si="20"/>
        <v>5.082256579543925</v>
      </c>
      <c r="V126" s="17">
        <f t="shared" si="21"/>
        <v>5.08332201491189</v>
      </c>
      <c r="W126" s="17">
        <f t="shared" si="18"/>
        <v>0.1846779850881095</v>
      </c>
      <c r="X126" s="17">
        <f t="shared" si="19"/>
        <v>0.2629999999999999</v>
      </c>
      <c r="Y126" s="17"/>
      <c r="Z126" s="155"/>
      <c r="AA126" s="155"/>
      <c r="AB126" s="155"/>
      <c r="AC126" s="155"/>
      <c r="AD126" s="50"/>
    </row>
    <row r="127" spans="2:30"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17">
        <f t="shared" si="13"/>
        <v>0.761000000000001</v>
      </c>
      <c r="Q127" s="17">
        <f t="shared" si="14"/>
        <v>0.3805000000000005</v>
      </c>
      <c r="R127" s="17">
        <f t="shared" si="15"/>
        <v>0</v>
      </c>
      <c r="S127" s="17">
        <f t="shared" si="16"/>
        <v>0</v>
      </c>
      <c r="T127" s="17">
        <f t="shared" si="17"/>
        <v>13.0155</v>
      </c>
      <c r="U127" s="17">
        <f t="shared" si="20"/>
        <v>12.878051301675061</v>
      </c>
      <c r="V127" s="17">
        <f t="shared" si="21"/>
        <v>12.880751033794551</v>
      </c>
      <c r="W127" s="17">
        <f t="shared" si="18"/>
        <v>-0.24575103379455143</v>
      </c>
      <c r="X127" s="17">
        <f t="shared" si="19"/>
        <v>-0.761000000000001</v>
      </c>
      <c r="Y127" s="17"/>
      <c r="Z127" s="155"/>
      <c r="AA127" s="155"/>
      <c r="AB127" s="155"/>
      <c r="AC127" s="155"/>
      <c r="AD127" s="50"/>
    </row>
    <row r="128" spans="2:30"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17">
        <f t="shared" si="13"/>
        <v>0</v>
      </c>
      <c r="Q128" s="17">
        <f t="shared" si="14"/>
        <v>0</v>
      </c>
      <c r="R128" s="17">
        <f t="shared" si="15"/>
        <v>3.9299999999999926</v>
      </c>
      <c r="S128" s="17">
        <f t="shared" si="16"/>
        <v>1.9649999999999963</v>
      </c>
      <c r="T128" s="17">
        <f t="shared" si="17"/>
        <v>97.73599999999999</v>
      </c>
      <c r="U128" s="17">
        <f t="shared" si="20"/>
        <v>96.7038701563915</v>
      </c>
      <c r="V128" s="17">
        <f t="shared" si="21"/>
        <v>96.72414298635812</v>
      </c>
      <c r="W128" s="17">
        <f t="shared" si="18"/>
        <v>2.976857013641876</v>
      </c>
      <c r="X128" s="17">
        <f t="shared" si="19"/>
        <v>3.9299999999999926</v>
      </c>
      <c r="Y128" s="17"/>
      <c r="Z128" s="155"/>
      <c r="AA128" s="155"/>
      <c r="AB128" s="155"/>
      <c r="AC128" s="155"/>
      <c r="AD128" s="50"/>
    </row>
    <row r="129" spans="2:30"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17">
        <f t="shared" si="13"/>
        <v>0.24499999999999922</v>
      </c>
      <c r="Q129" s="17">
        <f t="shared" si="14"/>
        <v>0.12249999999999961</v>
      </c>
      <c r="R129" s="17">
        <f t="shared" si="15"/>
        <v>0</v>
      </c>
      <c r="S129" s="17">
        <f t="shared" si="16"/>
        <v>0</v>
      </c>
      <c r="T129" s="17">
        <f t="shared" si="17"/>
        <v>8.3585</v>
      </c>
      <c r="U129" s="17">
        <f t="shared" si="20"/>
        <v>8.270231017252582</v>
      </c>
      <c r="V129" s="17">
        <f t="shared" si="21"/>
        <v>8.27196477399806</v>
      </c>
      <c r="W129" s="17">
        <f t="shared" si="18"/>
        <v>-0.035964773998060195</v>
      </c>
      <c r="X129" s="17">
        <f t="shared" si="19"/>
        <v>-0.24499999999999922</v>
      </c>
      <c r="Y129" s="17"/>
      <c r="Z129" s="155"/>
      <c r="AA129" s="155"/>
      <c r="AB129" s="155"/>
      <c r="AC129" s="155"/>
      <c r="AD129" s="50"/>
    </row>
    <row r="130" spans="2:30"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17">
        <f t="shared" si="13"/>
        <v>0.02699999999999747</v>
      </c>
      <c r="Q130" s="17">
        <f t="shared" si="14"/>
        <v>0.013499999999998735</v>
      </c>
      <c r="R130" s="17">
        <f t="shared" si="15"/>
        <v>0</v>
      </c>
      <c r="S130" s="17">
        <f t="shared" si="16"/>
        <v>0</v>
      </c>
      <c r="T130" s="17">
        <f t="shared" si="17"/>
        <v>26.819499999999998</v>
      </c>
      <c r="U130" s="17">
        <f t="shared" si="20"/>
        <v>26.536275739331895</v>
      </c>
      <c r="V130" s="17">
        <f t="shared" si="21"/>
        <v>26.54183875770066</v>
      </c>
      <c r="W130" s="17">
        <f t="shared" si="18"/>
        <v>0.2641612422993411</v>
      </c>
      <c r="X130" s="17">
        <f t="shared" si="19"/>
        <v>-0.02699999999999747</v>
      </c>
      <c r="Y130" s="17"/>
      <c r="Z130" s="155"/>
      <c r="AA130" s="155"/>
      <c r="AB130" s="155"/>
      <c r="AC130" s="155"/>
      <c r="AD130" s="50"/>
    </row>
    <row r="131" spans="2:30"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17">
        <f t="shared" si="13"/>
        <v>1.3049999999999997</v>
      </c>
      <c r="Q131" s="17">
        <f t="shared" si="14"/>
        <v>0.6524999999999999</v>
      </c>
      <c r="R131" s="17">
        <f t="shared" si="15"/>
        <v>0</v>
      </c>
      <c r="S131" s="17">
        <f t="shared" si="16"/>
        <v>0</v>
      </c>
      <c r="T131" s="17">
        <f t="shared" si="17"/>
        <v>5</v>
      </c>
      <c r="U131" s="17">
        <f t="shared" si="20"/>
        <v>5</v>
      </c>
      <c r="V131" s="17">
        <f t="shared" si="21"/>
        <v>4.948235194112616</v>
      </c>
      <c r="W131" s="17">
        <f t="shared" si="18"/>
        <v>-2.139235194112616</v>
      </c>
      <c r="X131" s="17">
        <f t="shared" si="19"/>
        <v>-1.3049999999999997</v>
      </c>
      <c r="Y131" s="17"/>
      <c r="Z131" s="155"/>
      <c r="AA131" s="155"/>
      <c r="AB131" s="155"/>
      <c r="AC131" s="155"/>
      <c r="AD131" s="50"/>
    </row>
    <row r="132" spans="2:30"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17">
        <f t="shared" si="13"/>
        <v>0</v>
      </c>
      <c r="Q132" s="17">
        <f t="shared" si="14"/>
        <v>0</v>
      </c>
      <c r="R132" s="17">
        <f t="shared" si="15"/>
        <v>0.010999999999999233</v>
      </c>
      <c r="S132" s="17">
        <f t="shared" si="16"/>
        <v>0.005499999999999616</v>
      </c>
      <c r="T132" s="17">
        <f t="shared" si="17"/>
        <v>18.7125</v>
      </c>
      <c r="U132" s="17">
        <f aca="true" t="shared" si="22" ref="U132:U137">MAX(T132*$Z$18,$T$1)</f>
        <v>18.514888785109644</v>
      </c>
      <c r="V132" s="17">
        <f aca="true" t="shared" si="23" ref="V132:V137">T132*$Z$19</f>
        <v>18.518770213966466</v>
      </c>
      <c r="W132" s="17">
        <f t="shared" si="18"/>
        <v>0.19922978603353414</v>
      </c>
      <c r="X132" s="17">
        <f t="shared" si="19"/>
        <v>0.010999999999999233</v>
      </c>
      <c r="Y132" s="17"/>
      <c r="Z132" s="155"/>
      <c r="AA132" s="155"/>
      <c r="AB132" s="155"/>
      <c r="AC132" s="155"/>
      <c r="AD132" s="50"/>
    </row>
    <row r="133" spans="2:30"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17">
        <f aca="true" t="shared" si="24" ref="P133:P138">IF(O133&gt;N133,O133-N133,0)</f>
        <v>0.005000000000000782</v>
      </c>
      <c r="Q133" s="17">
        <f aca="true" t="shared" si="25" ref="Q133:Q138">P133*$Q$1</f>
        <v>0.002500000000000391</v>
      </c>
      <c r="R133" s="17">
        <f aca="true" t="shared" si="26" ref="R133:R138">IF(O133&lt;N133,N133-O133,0)</f>
        <v>0</v>
      </c>
      <c r="S133" s="17">
        <f aca="true" t="shared" si="27" ref="S133:S138">R133*$S$1</f>
        <v>0</v>
      </c>
      <c r="T133" s="17">
        <f aca="true" t="shared" si="28" ref="T133:T138">MAX($T$1,O133-Q133+S133)</f>
        <v>5</v>
      </c>
      <c r="U133" s="17">
        <f t="shared" si="22"/>
        <v>5</v>
      </c>
      <c r="V133" s="17">
        <f t="shared" si="23"/>
        <v>4.948235194112616</v>
      </c>
      <c r="W133" s="17">
        <f aca="true" t="shared" si="29" ref="W133:W137">N133-V133</f>
        <v>-0.8802351941126165</v>
      </c>
      <c r="X133" s="17">
        <f aca="true" t="shared" si="30" ref="X133:X137">N133-O133</f>
        <v>-0.005000000000000782</v>
      </c>
      <c r="Y133" s="17"/>
      <c r="Z133" s="155"/>
      <c r="AA133" s="155"/>
      <c r="AB133" s="155"/>
      <c r="AC133" s="155"/>
      <c r="AD133" s="50"/>
    </row>
    <row r="134" spans="2:30"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17">
        <f t="shared" si="24"/>
        <v>0.6169999999999991</v>
      </c>
      <c r="Q134" s="17">
        <f t="shared" si="25"/>
        <v>0.30849999999999955</v>
      </c>
      <c r="R134" s="17">
        <f t="shared" si="26"/>
        <v>0</v>
      </c>
      <c r="S134" s="17">
        <f t="shared" si="27"/>
        <v>0</v>
      </c>
      <c r="T134" s="17">
        <f t="shared" si="28"/>
        <v>12.628499999999999</v>
      </c>
      <c r="U134" s="17">
        <f t="shared" si="22"/>
        <v>12.495138170888826</v>
      </c>
      <c r="V134" s="17">
        <f t="shared" si="23"/>
        <v>12.497757629770234</v>
      </c>
      <c r="W134" s="17">
        <f t="shared" si="29"/>
        <v>-0.1777576297702339</v>
      </c>
      <c r="X134" s="17">
        <f t="shared" si="30"/>
        <v>-0.6169999999999991</v>
      </c>
      <c r="Y134" s="17"/>
      <c r="Z134" s="155"/>
      <c r="AA134" s="155"/>
      <c r="AB134" s="155"/>
      <c r="AC134" s="155"/>
      <c r="AD134" s="50"/>
    </row>
    <row r="135" spans="2:30"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17">
        <f t="shared" si="24"/>
        <v>0.39099999999999824</v>
      </c>
      <c r="Q135" s="17">
        <f t="shared" si="25"/>
        <v>0.19549999999999912</v>
      </c>
      <c r="R135" s="17">
        <f t="shared" si="26"/>
        <v>0</v>
      </c>
      <c r="S135" s="17">
        <f t="shared" si="27"/>
        <v>0</v>
      </c>
      <c r="T135" s="17">
        <f t="shared" si="28"/>
        <v>17.0825</v>
      </c>
      <c r="U135" s="17">
        <f t="shared" si="22"/>
        <v>16.902102213581056</v>
      </c>
      <c r="V135" s="17">
        <f t="shared" si="23"/>
        <v>16.905645540685754</v>
      </c>
      <c r="W135" s="17">
        <f t="shared" si="29"/>
        <v>-0.018645540685753303</v>
      </c>
      <c r="X135" s="17">
        <f t="shared" si="30"/>
        <v>-0.39099999999999824</v>
      </c>
      <c r="Y135" s="17"/>
      <c r="Z135" s="155"/>
      <c r="AA135" s="155"/>
      <c r="AB135" s="155"/>
      <c r="AC135" s="155"/>
      <c r="AD135" s="50"/>
    </row>
    <row r="136" spans="2:30"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17">
        <f t="shared" si="24"/>
        <v>0</v>
      </c>
      <c r="Q136" s="17">
        <f t="shared" si="25"/>
        <v>0</v>
      </c>
      <c r="R136" s="17">
        <f t="shared" si="26"/>
        <v>0.21700000000000053</v>
      </c>
      <c r="S136" s="17">
        <f t="shared" si="27"/>
        <v>0.10850000000000026</v>
      </c>
      <c r="T136" s="17">
        <f t="shared" si="28"/>
        <v>6.4375</v>
      </c>
      <c r="U136" s="17">
        <f t="shared" si="22"/>
        <v>6.369517517923492</v>
      </c>
      <c r="V136" s="17">
        <f t="shared" si="23"/>
        <v>6.370852812419994</v>
      </c>
      <c r="W136" s="17">
        <f t="shared" si="29"/>
        <v>0.17514718758000658</v>
      </c>
      <c r="X136" s="17">
        <f t="shared" si="30"/>
        <v>0.21700000000000053</v>
      </c>
      <c r="Y136" s="17"/>
      <c r="Z136" s="155"/>
      <c r="AA136" s="155"/>
      <c r="AB136" s="155"/>
      <c r="AC136" s="155"/>
      <c r="AD136" s="50"/>
    </row>
    <row r="137" spans="2:30"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17">
        <f t="shared" si="24"/>
        <v>0</v>
      </c>
      <c r="Q137" s="17">
        <f t="shared" si="25"/>
        <v>0</v>
      </c>
      <c r="R137" s="17">
        <f t="shared" si="26"/>
        <v>0.9390000000000001</v>
      </c>
      <c r="S137" s="17">
        <f t="shared" si="27"/>
        <v>0.46950000000000003</v>
      </c>
      <c r="T137" s="17">
        <f t="shared" si="28"/>
        <v>45.6425</v>
      </c>
      <c r="U137" s="17">
        <f t="shared" si="22"/>
        <v>45.160497601836575</v>
      </c>
      <c r="V137" s="17">
        <f t="shared" si="23"/>
        <v>45.16996496945701</v>
      </c>
      <c r="W137" s="17">
        <f t="shared" si="29"/>
        <v>0.9420350305429892</v>
      </c>
      <c r="X137" s="17">
        <f t="shared" si="30"/>
        <v>0.9390000000000001</v>
      </c>
      <c r="Y137" s="17"/>
      <c r="Z137" s="155"/>
      <c r="AA137" s="155"/>
      <c r="AB137" s="155"/>
      <c r="AC137" s="155"/>
      <c r="AD137" s="50"/>
    </row>
    <row r="138" spans="2:30"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17">
        <f t="shared" si="24"/>
        <v>0</v>
      </c>
      <c r="Q138" s="17">
        <f t="shared" si="25"/>
        <v>0</v>
      </c>
      <c r="R138" s="17">
        <f t="shared" si="26"/>
        <v>69.61700000000008</v>
      </c>
      <c r="S138" s="17">
        <f t="shared" si="27"/>
        <v>34.80850000000004</v>
      </c>
      <c r="T138" s="17">
        <f t="shared" si="28"/>
        <v>637.0845000000002</v>
      </c>
      <c r="U138" s="17"/>
      <c r="V138" s="17"/>
      <c r="W138" s="17"/>
      <c r="X138" s="17"/>
      <c r="Y138" s="17"/>
      <c r="Z138" s="155"/>
      <c r="AA138" s="155"/>
      <c r="AB138" s="155"/>
      <c r="AC138" s="155"/>
      <c r="AD138" s="50"/>
    </row>
    <row r="139" spans="2:30" ht="12.75">
      <c r="B139" s="14"/>
      <c r="C139" s="15"/>
      <c r="D139" s="16"/>
      <c r="E139" s="16"/>
      <c r="F139" s="17"/>
      <c r="G139" s="17"/>
      <c r="H139" s="17"/>
      <c r="I139" s="17"/>
      <c r="J139" s="17"/>
      <c r="K139" s="17"/>
      <c r="L139" s="17"/>
      <c r="M139" s="17"/>
      <c r="N139" s="17"/>
      <c r="O139" s="17"/>
      <c r="P139" s="17"/>
      <c r="Q139" s="17"/>
      <c r="R139" s="17"/>
      <c r="S139" s="17"/>
      <c r="T139" s="17"/>
      <c r="U139" s="17"/>
      <c r="V139" s="17"/>
      <c r="W139" s="17"/>
      <c r="X139" s="17"/>
      <c r="Y139" s="17"/>
      <c r="Z139" s="155"/>
      <c r="AA139" s="155"/>
      <c r="AB139" s="155"/>
      <c r="AC139" s="155"/>
      <c r="AD139" s="50"/>
    </row>
    <row r="140" spans="2:30" ht="12.75">
      <c r="B140" s="14"/>
      <c r="C140" s="15"/>
      <c r="D140" s="16"/>
      <c r="E140" s="16"/>
      <c r="F140" s="17"/>
      <c r="G140" s="17"/>
      <c r="H140" s="17"/>
      <c r="I140" s="17"/>
      <c r="J140" s="17"/>
      <c r="K140" s="17"/>
      <c r="L140" s="17"/>
      <c r="M140" s="17"/>
      <c r="N140" s="17"/>
      <c r="O140" s="17"/>
      <c r="P140" s="17"/>
      <c r="Q140" s="17"/>
      <c r="R140" s="17"/>
      <c r="S140" s="17"/>
      <c r="T140" s="17"/>
      <c r="U140" s="17"/>
      <c r="V140" s="17"/>
      <c r="W140" s="17"/>
      <c r="X140" s="17"/>
      <c r="Y140" s="17"/>
      <c r="Z140" s="155"/>
      <c r="AA140" s="155"/>
      <c r="AB140" s="155"/>
      <c r="AC140" s="155"/>
      <c r="AD140" s="50"/>
    </row>
    <row r="141" spans="2:30" ht="12.75">
      <c r="B141" s="14"/>
      <c r="C141" s="15"/>
      <c r="D141" s="16"/>
      <c r="E141" s="16"/>
      <c r="F141" s="17"/>
      <c r="G141" s="17"/>
      <c r="H141" s="17"/>
      <c r="I141" s="17"/>
      <c r="J141" s="17"/>
      <c r="K141" s="17"/>
      <c r="L141" s="17"/>
      <c r="M141" s="17"/>
      <c r="N141" s="17"/>
      <c r="O141" s="17"/>
      <c r="P141" s="17"/>
      <c r="Q141" s="17"/>
      <c r="R141" s="17"/>
      <c r="S141" s="17"/>
      <c r="T141" s="17"/>
      <c r="U141" s="17"/>
      <c r="V141" s="17"/>
      <c r="W141" s="17"/>
      <c r="X141" s="17"/>
      <c r="Y141" s="17"/>
      <c r="Z141" s="155"/>
      <c r="AA141" s="155"/>
      <c r="AB141" s="155"/>
      <c r="AC141" s="155"/>
      <c r="AD141" s="50"/>
    </row>
    <row r="142" spans="2:25" ht="12.75">
      <c r="B142" s="30" t="s">
        <v>150</v>
      </c>
      <c r="C142" s="31" t="s">
        <v>150</v>
      </c>
      <c r="D142" s="16"/>
      <c r="E142" s="16"/>
      <c r="F142" s="17"/>
      <c r="G142" s="17"/>
      <c r="H142" s="17"/>
      <c r="I142" s="17"/>
      <c r="J142" s="17"/>
      <c r="K142" s="17"/>
      <c r="L142" s="17"/>
      <c r="M142" s="17"/>
      <c r="N142" s="17"/>
      <c r="O142" s="17"/>
      <c r="P142" s="17"/>
      <c r="Q142" s="17"/>
      <c r="R142" s="17"/>
      <c r="S142" s="17"/>
      <c r="T142" s="17"/>
      <c r="U142" s="17"/>
      <c r="V142" s="17"/>
      <c r="W142" s="17"/>
      <c r="X142" s="17"/>
      <c r="Y142" s="17"/>
    </row>
    <row r="143" spans="1:18" ht="68.25" customHeight="1">
      <c r="A143" s="21"/>
      <c r="B143" s="213" t="s">
        <v>162</v>
      </c>
      <c r="C143" s="214"/>
      <c r="D143" s="214"/>
      <c r="E143" s="214"/>
      <c r="F143" s="214"/>
      <c r="G143" s="214"/>
      <c r="H143" s="214"/>
      <c r="I143" s="214"/>
      <c r="J143" s="214"/>
      <c r="K143" s="214"/>
      <c r="L143" s="214"/>
      <c r="M143" s="214"/>
      <c r="N143" s="214"/>
      <c r="O143" s="215"/>
      <c r="P143" s="17"/>
      <c r="Q143" s="51"/>
      <c r="R143" s="50"/>
    </row>
    <row r="144" spans="1:18" ht="59.45" customHeight="1">
      <c r="A144" s="21"/>
      <c r="B144" s="210" t="s">
        <v>163</v>
      </c>
      <c r="C144" s="211"/>
      <c r="D144" s="211"/>
      <c r="E144" s="211"/>
      <c r="F144" s="211"/>
      <c r="G144" s="211"/>
      <c r="H144" s="211"/>
      <c r="I144" s="211"/>
      <c r="J144" s="211"/>
      <c r="K144" s="211"/>
      <c r="L144" s="211"/>
      <c r="M144" s="211"/>
      <c r="N144" s="211"/>
      <c r="O144" s="212"/>
      <c r="P144" s="17"/>
      <c r="Q144" s="51"/>
      <c r="R144" s="50"/>
    </row>
    <row r="145" spans="1:18" ht="30" customHeight="1">
      <c r="A145" s="21"/>
      <c r="B145" s="210" t="s">
        <v>174</v>
      </c>
      <c r="C145" s="211"/>
      <c r="D145" s="211"/>
      <c r="E145" s="211"/>
      <c r="F145" s="211"/>
      <c r="G145" s="211"/>
      <c r="H145" s="211"/>
      <c r="I145" s="211"/>
      <c r="J145" s="211"/>
      <c r="K145" s="211"/>
      <c r="L145" s="211"/>
      <c r="M145" s="211"/>
      <c r="N145" s="211"/>
      <c r="O145" s="212"/>
      <c r="P145" s="17"/>
      <c r="Q145" s="51"/>
      <c r="R145" s="50"/>
    </row>
    <row r="146" spans="2:18"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17"/>
      <c r="Q146" s="51"/>
      <c r="R146" s="50"/>
    </row>
    <row r="147" spans="2:18"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17"/>
      <c r="Q147" s="51"/>
      <c r="R147" s="50"/>
    </row>
    <row r="148" spans="1:30" ht="12.75">
      <c r="A148" s="13"/>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17"/>
      <c r="Q148" s="51"/>
      <c r="R148" s="50"/>
      <c r="S148" s="13"/>
      <c r="T148" s="13"/>
      <c r="U148" s="13"/>
      <c r="V148" s="13"/>
      <c r="W148" s="13"/>
      <c r="X148" s="13"/>
      <c r="Y148" s="13"/>
      <c r="Z148" s="160"/>
      <c r="AA148" s="160"/>
      <c r="AB148" s="160"/>
      <c r="AC148" s="160"/>
      <c r="AD148" s="13"/>
    </row>
    <row r="149" spans="1:30" ht="12.75">
      <c r="A149" s="13"/>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17"/>
      <c r="Q149" s="51"/>
      <c r="R149" s="50"/>
      <c r="S149" s="13"/>
      <c r="T149" s="13"/>
      <c r="U149" s="13"/>
      <c r="V149" s="13"/>
      <c r="W149" s="13"/>
      <c r="X149" s="13"/>
      <c r="Y149" s="13"/>
      <c r="Z149" s="160"/>
      <c r="AA149" s="160"/>
      <c r="AB149" s="160"/>
      <c r="AC149" s="160"/>
      <c r="AD149" s="13"/>
    </row>
    <row r="150" spans="1:30" ht="12.75">
      <c r="A150" s="13"/>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17"/>
      <c r="Q150" s="51"/>
      <c r="R150" s="50"/>
      <c r="S150" s="13"/>
      <c r="T150" s="13"/>
      <c r="U150" s="13"/>
      <c r="V150" s="13"/>
      <c r="W150" s="13"/>
      <c r="X150" s="13"/>
      <c r="Y150" s="13"/>
      <c r="Z150" s="160"/>
      <c r="AA150" s="160"/>
      <c r="AB150" s="160"/>
      <c r="AC150" s="160"/>
      <c r="AD150" s="13"/>
    </row>
    <row r="151" spans="1:30" ht="12.75">
      <c r="A151" s="13"/>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17"/>
      <c r="Q151" s="51"/>
      <c r="R151" s="50"/>
      <c r="S151" s="13"/>
      <c r="T151" s="13"/>
      <c r="U151" s="13"/>
      <c r="V151" s="13"/>
      <c r="W151" s="13"/>
      <c r="X151" s="13"/>
      <c r="Y151" s="13"/>
      <c r="Z151" s="160"/>
      <c r="AA151" s="160"/>
      <c r="AB151" s="160"/>
      <c r="AC151" s="160"/>
      <c r="AD151" s="13"/>
    </row>
    <row r="152" spans="1:30" ht="12.75">
      <c r="A152" s="13"/>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17"/>
      <c r="Q152" s="51"/>
      <c r="R152" s="50"/>
      <c r="S152" s="13"/>
      <c r="T152" s="13"/>
      <c r="U152" s="13"/>
      <c r="V152" s="13"/>
      <c r="W152" s="13"/>
      <c r="X152" s="13"/>
      <c r="Y152" s="13"/>
      <c r="Z152" s="160"/>
      <c r="AA152" s="160"/>
      <c r="AB152" s="160"/>
      <c r="AC152" s="160"/>
      <c r="AD152" s="13"/>
    </row>
    <row r="153" spans="1:30" ht="12.75">
      <c r="A153" s="13"/>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17"/>
      <c r="Q153" s="51"/>
      <c r="R153" s="50"/>
      <c r="S153" s="13"/>
      <c r="T153" s="13"/>
      <c r="U153" s="13"/>
      <c r="V153" s="13"/>
      <c r="W153" s="13"/>
      <c r="X153" s="13"/>
      <c r="Y153" s="13"/>
      <c r="Z153" s="160"/>
      <c r="AA153" s="160"/>
      <c r="AB153" s="160"/>
      <c r="AC153" s="160"/>
      <c r="AD153" s="13"/>
    </row>
    <row r="154" spans="1:30" ht="12.75">
      <c r="A154" s="13"/>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17"/>
      <c r="Q154" s="51"/>
      <c r="R154" s="50"/>
      <c r="S154" s="13"/>
      <c r="T154" s="13"/>
      <c r="U154" s="13"/>
      <c r="V154" s="13"/>
      <c r="W154" s="13"/>
      <c r="X154" s="13"/>
      <c r="Y154" s="13"/>
      <c r="Z154" s="160"/>
      <c r="AA154" s="160"/>
      <c r="AB154" s="160"/>
      <c r="AC154" s="160"/>
      <c r="AD154" s="13"/>
    </row>
    <row r="155" spans="1:30" ht="12.75">
      <c r="A155" s="13"/>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17"/>
      <c r="Q155" s="51"/>
      <c r="R155" s="50"/>
      <c r="S155" s="13"/>
      <c r="T155" s="13"/>
      <c r="U155" s="13"/>
      <c r="V155" s="13"/>
      <c r="W155" s="13"/>
      <c r="X155" s="13"/>
      <c r="Y155" s="13"/>
      <c r="Z155" s="160"/>
      <c r="AA155" s="160"/>
      <c r="AB155" s="160"/>
      <c r="AC155" s="160"/>
      <c r="AD155" s="13"/>
    </row>
    <row r="156" spans="1:30" ht="12.75">
      <c r="A156" s="13"/>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17"/>
      <c r="Q156" s="51"/>
      <c r="R156" s="50"/>
      <c r="S156" s="13"/>
      <c r="T156" s="13"/>
      <c r="U156" s="13"/>
      <c r="V156" s="13"/>
      <c r="W156" s="13"/>
      <c r="X156" s="13"/>
      <c r="Y156" s="13"/>
      <c r="Z156" s="160"/>
      <c r="AA156" s="160"/>
      <c r="AB156" s="160"/>
      <c r="AC156" s="160"/>
      <c r="AD156" s="13"/>
    </row>
    <row r="157" spans="1:30" ht="12.75">
      <c r="A157" s="13"/>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17"/>
      <c r="Q157" s="51"/>
      <c r="R157" s="50"/>
      <c r="S157" s="13"/>
      <c r="T157" s="13"/>
      <c r="U157" s="13"/>
      <c r="V157" s="13"/>
      <c r="W157" s="13"/>
      <c r="X157" s="13"/>
      <c r="Y157" s="13"/>
      <c r="Z157" s="160"/>
      <c r="AA157" s="160"/>
      <c r="AB157" s="160"/>
      <c r="AC157" s="160"/>
      <c r="AD157" s="13"/>
    </row>
    <row r="158" spans="1:30" ht="12.75">
      <c r="A158" s="13"/>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17"/>
      <c r="Q158" s="51"/>
      <c r="R158" s="50"/>
      <c r="S158" s="13"/>
      <c r="T158" s="13"/>
      <c r="U158" s="13"/>
      <c r="V158" s="13"/>
      <c r="W158" s="13"/>
      <c r="X158" s="13"/>
      <c r="Y158" s="13"/>
      <c r="Z158" s="160"/>
      <c r="AA158" s="160"/>
      <c r="AB158" s="160"/>
      <c r="AC158" s="160"/>
      <c r="AD158" s="13"/>
    </row>
    <row r="159" spans="1:30" ht="12.75">
      <c r="A159" s="13"/>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17"/>
      <c r="Q159" s="51"/>
      <c r="R159" s="50"/>
      <c r="S159" s="13"/>
      <c r="T159" s="13"/>
      <c r="U159" s="13"/>
      <c r="V159" s="13"/>
      <c r="W159" s="13"/>
      <c r="X159" s="13"/>
      <c r="Y159" s="13"/>
      <c r="Z159" s="160"/>
      <c r="AA159" s="160"/>
      <c r="AB159" s="160"/>
      <c r="AC159" s="160"/>
      <c r="AD159" s="13"/>
    </row>
    <row r="160" spans="1:30" ht="12.75">
      <c r="A160" s="13"/>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17"/>
      <c r="Q160" s="51"/>
      <c r="R160" s="50"/>
      <c r="S160" s="13"/>
      <c r="T160" s="13"/>
      <c r="U160" s="13"/>
      <c r="V160" s="13"/>
      <c r="W160" s="13"/>
      <c r="X160" s="13"/>
      <c r="Y160" s="13"/>
      <c r="Z160" s="160"/>
      <c r="AA160" s="160"/>
      <c r="AB160" s="160"/>
      <c r="AC160" s="160"/>
      <c r="AD160" s="13"/>
    </row>
    <row r="161" spans="1:30" ht="12.75">
      <c r="A161" s="13"/>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17"/>
      <c r="Q161" s="51"/>
      <c r="R161" s="50"/>
      <c r="S161" s="13"/>
      <c r="T161" s="13"/>
      <c r="U161" s="13"/>
      <c r="V161" s="13"/>
      <c r="W161" s="13"/>
      <c r="X161" s="13"/>
      <c r="Y161" s="13"/>
      <c r="Z161" s="160"/>
      <c r="AA161" s="160"/>
      <c r="AB161" s="160"/>
      <c r="AC161" s="160"/>
      <c r="AD161" s="13"/>
    </row>
    <row r="162" spans="1:30" ht="12.75">
      <c r="A162" s="13"/>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17"/>
      <c r="Q162" s="51"/>
      <c r="R162" s="50"/>
      <c r="S162" s="13"/>
      <c r="T162" s="13"/>
      <c r="U162" s="13"/>
      <c r="V162" s="13"/>
      <c r="W162" s="13"/>
      <c r="X162" s="13"/>
      <c r="Y162" s="13"/>
      <c r="Z162" s="160"/>
      <c r="AA162" s="160"/>
      <c r="AB162" s="160"/>
      <c r="AC162" s="160"/>
      <c r="AD162" s="13"/>
    </row>
    <row r="163" spans="1:30" ht="12.75">
      <c r="A163" s="13"/>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17"/>
      <c r="Q163" s="51"/>
      <c r="R163" s="50"/>
      <c r="S163" s="13"/>
      <c r="T163" s="13"/>
      <c r="U163" s="13"/>
      <c r="V163" s="13"/>
      <c r="W163" s="13"/>
      <c r="X163" s="13"/>
      <c r="Y163" s="13"/>
      <c r="Z163" s="160"/>
      <c r="AA163" s="160"/>
      <c r="AB163" s="160"/>
      <c r="AC163" s="160"/>
      <c r="AD163" s="13"/>
    </row>
    <row r="164" spans="1:30" ht="12.75">
      <c r="A164" s="13"/>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17"/>
      <c r="Q164" s="51"/>
      <c r="R164" s="50"/>
      <c r="S164" s="13"/>
      <c r="T164" s="13"/>
      <c r="U164" s="13"/>
      <c r="V164" s="13"/>
      <c r="W164" s="13"/>
      <c r="X164" s="13"/>
      <c r="Y164" s="13"/>
      <c r="Z164" s="160"/>
      <c r="AA164" s="160"/>
      <c r="AB164" s="160"/>
      <c r="AC164" s="160"/>
      <c r="AD164" s="13"/>
    </row>
    <row r="165" spans="1:30" ht="12.75">
      <c r="A165" s="13"/>
      <c r="B165" s="14" t="s">
        <v>150</v>
      </c>
      <c r="C165" s="15"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17"/>
      <c r="Q165" s="51"/>
      <c r="R165" s="50"/>
      <c r="S165" s="13"/>
      <c r="T165" s="13"/>
      <c r="U165" s="13"/>
      <c r="V165" s="13"/>
      <c r="W165" s="13"/>
      <c r="X165" s="13"/>
      <c r="Y165" s="13"/>
      <c r="Z165" s="160"/>
      <c r="AA165" s="160"/>
      <c r="AB165" s="160"/>
      <c r="AC165" s="160"/>
      <c r="AD165" s="13"/>
    </row>
    <row r="166" spans="1:30" ht="12.75">
      <c r="A166" s="13"/>
      <c r="B166" s="14" t="s">
        <v>150</v>
      </c>
      <c r="C166" s="15"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17"/>
      <c r="Q166" s="51"/>
      <c r="R166" s="50"/>
      <c r="S166" s="13"/>
      <c r="T166" s="13"/>
      <c r="U166" s="13"/>
      <c r="V166" s="13"/>
      <c r="W166" s="13"/>
      <c r="X166" s="13"/>
      <c r="Y166" s="13"/>
      <c r="Z166" s="160"/>
      <c r="AA166" s="160"/>
      <c r="AB166" s="160"/>
      <c r="AC166" s="160"/>
      <c r="AD166" s="13"/>
    </row>
    <row r="167" spans="1:30" ht="12.75">
      <c r="A167" s="13"/>
      <c r="B167" s="14" t="s">
        <v>150</v>
      </c>
      <c r="C167" s="15"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17"/>
      <c r="Q167" s="51"/>
      <c r="R167" s="50"/>
      <c r="S167" s="13"/>
      <c r="T167" s="13"/>
      <c r="U167" s="13"/>
      <c r="V167" s="13"/>
      <c r="W167" s="13"/>
      <c r="X167" s="13"/>
      <c r="Y167" s="13"/>
      <c r="Z167" s="160"/>
      <c r="AA167" s="160"/>
      <c r="AB167" s="160"/>
      <c r="AC167" s="160"/>
      <c r="AD167" s="13"/>
    </row>
    <row r="168" spans="1:30" ht="12.75">
      <c r="A168" s="13"/>
      <c r="B168" s="22" t="s">
        <v>150</v>
      </c>
      <c r="C168" s="22"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17"/>
      <c r="Q168" s="51"/>
      <c r="R168" s="50"/>
      <c r="S168" s="13"/>
      <c r="T168" s="13"/>
      <c r="U168" s="13"/>
      <c r="V168" s="13"/>
      <c r="W168" s="13"/>
      <c r="X168" s="13"/>
      <c r="Y168" s="13"/>
      <c r="Z168" s="160"/>
      <c r="AA168" s="160"/>
      <c r="AB168" s="160"/>
      <c r="AC168" s="160"/>
      <c r="AD168" s="13"/>
    </row>
    <row r="169" spans="1:30" ht="12.75">
      <c r="A169" s="13"/>
      <c r="B169" s="22" t="s">
        <v>150</v>
      </c>
      <c r="C169" s="22" t="s">
        <v>150</v>
      </c>
      <c r="D169" s="16" t="s">
        <v>150</v>
      </c>
      <c r="E169" s="16" t="s">
        <v>150</v>
      </c>
      <c r="F169" s="17" t="s">
        <v>150</v>
      </c>
      <c r="G169" s="19" t="s">
        <v>150</v>
      </c>
      <c r="H169" s="19" t="s">
        <v>150</v>
      </c>
      <c r="I169" s="19" t="s">
        <v>150</v>
      </c>
      <c r="J169" s="19" t="s">
        <v>150</v>
      </c>
      <c r="K169" s="19" t="s">
        <v>150</v>
      </c>
      <c r="L169" s="19" t="s">
        <v>150</v>
      </c>
      <c r="M169" s="19" t="s">
        <v>150</v>
      </c>
      <c r="N169" s="19" t="s">
        <v>150</v>
      </c>
      <c r="O169" s="17" t="s">
        <v>150</v>
      </c>
      <c r="P169" s="17"/>
      <c r="Q169" s="51"/>
      <c r="R169" s="50"/>
      <c r="S169" s="13"/>
      <c r="T169" s="13"/>
      <c r="U169" s="13"/>
      <c r="V169" s="13"/>
      <c r="W169" s="13"/>
      <c r="X169" s="13"/>
      <c r="Y169" s="13"/>
      <c r="Z169" s="160"/>
      <c r="AA169" s="160"/>
      <c r="AB169" s="160"/>
      <c r="AC169" s="160"/>
      <c r="AD169" s="13"/>
    </row>
    <row r="170" spans="1:30" ht="12.75">
      <c r="A170" s="13"/>
      <c r="B170" s="22" t="s">
        <v>150</v>
      </c>
      <c r="C170" s="22" t="s">
        <v>150</v>
      </c>
      <c r="D170" s="16" t="s">
        <v>150</v>
      </c>
      <c r="E170" s="16" t="s">
        <v>150</v>
      </c>
      <c r="F170" s="17" t="s">
        <v>150</v>
      </c>
      <c r="G170" s="19" t="s">
        <v>150</v>
      </c>
      <c r="H170" s="19" t="s">
        <v>150</v>
      </c>
      <c r="I170" s="19" t="s">
        <v>150</v>
      </c>
      <c r="J170" s="19" t="s">
        <v>150</v>
      </c>
      <c r="K170" s="19" t="s">
        <v>150</v>
      </c>
      <c r="L170" s="19" t="s">
        <v>150</v>
      </c>
      <c r="M170" s="19" t="s">
        <v>150</v>
      </c>
      <c r="N170" s="19" t="s">
        <v>150</v>
      </c>
      <c r="O170" s="17" t="s">
        <v>150</v>
      </c>
      <c r="P170" s="17"/>
      <c r="Q170" s="51"/>
      <c r="R170" s="50"/>
      <c r="S170" s="13"/>
      <c r="T170" s="13"/>
      <c r="U170" s="13"/>
      <c r="V170" s="13"/>
      <c r="W170" s="13"/>
      <c r="X170" s="13"/>
      <c r="Y170" s="13"/>
      <c r="Z170" s="160"/>
      <c r="AA170" s="160"/>
      <c r="AB170" s="160"/>
      <c r="AC170" s="160"/>
      <c r="AD170" s="13"/>
    </row>
    <row r="171" spans="1:30" ht="12.75">
      <c r="A171" s="13"/>
      <c r="B171" s="13" t="s">
        <v>150</v>
      </c>
      <c r="C171" s="13" t="s">
        <v>150</v>
      </c>
      <c r="D171" s="16" t="s">
        <v>150</v>
      </c>
      <c r="E171" s="16" t="s">
        <v>150</v>
      </c>
      <c r="F171" s="17" t="s">
        <v>150</v>
      </c>
      <c r="G171" s="19" t="s">
        <v>150</v>
      </c>
      <c r="H171" s="19" t="s">
        <v>150</v>
      </c>
      <c r="I171" s="19" t="s">
        <v>150</v>
      </c>
      <c r="J171" s="19" t="s">
        <v>150</v>
      </c>
      <c r="K171" s="19" t="s">
        <v>150</v>
      </c>
      <c r="L171" s="19" t="s">
        <v>150</v>
      </c>
      <c r="M171" s="19" t="s">
        <v>150</v>
      </c>
      <c r="N171" s="19" t="s">
        <v>150</v>
      </c>
      <c r="O171" s="17" t="s">
        <v>150</v>
      </c>
      <c r="P171" s="17"/>
      <c r="Q171" s="51"/>
      <c r="R171" s="50"/>
      <c r="S171" s="13"/>
      <c r="T171" s="13"/>
      <c r="U171" s="13"/>
      <c r="V171" s="13"/>
      <c r="W171" s="13"/>
      <c r="X171" s="13"/>
      <c r="Y171" s="13"/>
      <c r="Z171" s="160"/>
      <c r="AA171" s="160"/>
      <c r="AB171" s="160"/>
      <c r="AC171" s="160"/>
      <c r="AD171" s="13"/>
    </row>
    <row r="172" spans="1:30" ht="12.75">
      <c r="A172" s="13"/>
      <c r="B172" s="13"/>
      <c r="C172" s="13"/>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17"/>
      <c r="Q172" s="51"/>
      <c r="R172" s="50"/>
      <c r="S172" s="13"/>
      <c r="T172" s="13"/>
      <c r="U172" s="13"/>
      <c r="V172" s="13"/>
      <c r="W172" s="13"/>
      <c r="X172" s="13"/>
      <c r="Y172" s="13"/>
      <c r="Z172" s="160"/>
      <c r="AA172" s="160"/>
      <c r="AB172" s="160"/>
      <c r="AC172" s="160"/>
      <c r="AD172" s="13"/>
    </row>
    <row r="173" spans="1:30" ht="12.75">
      <c r="A173" s="13"/>
      <c r="B173" s="13"/>
      <c r="C173" s="13"/>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17"/>
      <c r="Q173" s="51"/>
      <c r="R173" s="50"/>
      <c r="S173" s="13"/>
      <c r="T173" s="13"/>
      <c r="U173" s="13"/>
      <c r="V173" s="13"/>
      <c r="W173" s="13"/>
      <c r="X173" s="13"/>
      <c r="Y173" s="13"/>
      <c r="Z173" s="160"/>
      <c r="AA173" s="160"/>
      <c r="AB173" s="160"/>
      <c r="AC173" s="160"/>
      <c r="AD173" s="13"/>
    </row>
    <row r="174" spans="1:30" ht="12.75">
      <c r="A174" s="13"/>
      <c r="B174" s="13"/>
      <c r="C174" s="13"/>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17"/>
      <c r="Q174" s="51"/>
      <c r="R174" s="50"/>
      <c r="S174" s="13"/>
      <c r="T174" s="13"/>
      <c r="U174" s="13"/>
      <c r="V174" s="13"/>
      <c r="W174" s="13"/>
      <c r="X174" s="13"/>
      <c r="Y174" s="13"/>
      <c r="Z174" s="160"/>
      <c r="AA174" s="160"/>
      <c r="AB174" s="160"/>
      <c r="AC174" s="160"/>
      <c r="AD174" s="13"/>
    </row>
    <row r="175" spans="1:30" ht="12.75">
      <c r="A175" s="13"/>
      <c r="B175" s="13"/>
      <c r="C175" s="13"/>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17"/>
      <c r="Q175" s="51"/>
      <c r="R175" s="50"/>
      <c r="S175" s="13"/>
      <c r="T175" s="13"/>
      <c r="U175" s="13"/>
      <c r="V175" s="13"/>
      <c r="W175" s="13"/>
      <c r="X175" s="13"/>
      <c r="Y175" s="13"/>
      <c r="Z175" s="160"/>
      <c r="AA175" s="160"/>
      <c r="AB175" s="160"/>
      <c r="AC175" s="160"/>
      <c r="AD175" s="13"/>
    </row>
    <row r="176" spans="1:30" ht="12.75">
      <c r="A176" s="13"/>
      <c r="B176" s="13"/>
      <c r="C176" s="13"/>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17"/>
      <c r="Q176" s="51"/>
      <c r="R176" s="50"/>
      <c r="S176" s="13"/>
      <c r="T176" s="13"/>
      <c r="U176" s="13"/>
      <c r="V176" s="13"/>
      <c r="W176" s="13"/>
      <c r="X176" s="13"/>
      <c r="Y176" s="13"/>
      <c r="Z176" s="160"/>
      <c r="AA176" s="160"/>
      <c r="AB176" s="160"/>
      <c r="AC176" s="160"/>
      <c r="AD176" s="13"/>
    </row>
    <row r="177" spans="1:30" ht="12.75">
      <c r="A177" s="13"/>
      <c r="B177" s="13"/>
      <c r="C177" s="13"/>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17"/>
      <c r="Q177" s="51"/>
      <c r="R177" s="50"/>
      <c r="S177" s="13"/>
      <c r="T177" s="13"/>
      <c r="U177" s="13"/>
      <c r="V177" s="13"/>
      <c r="W177" s="13"/>
      <c r="X177" s="13"/>
      <c r="Y177" s="13"/>
      <c r="Z177" s="160"/>
      <c r="AA177" s="160"/>
      <c r="AB177" s="160"/>
      <c r="AC177" s="160"/>
      <c r="AD177" s="13"/>
    </row>
    <row r="178" spans="1:30" ht="12.75">
      <c r="A178" s="13"/>
      <c r="B178" s="13"/>
      <c r="C178" s="13"/>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17"/>
      <c r="Q178" s="51"/>
      <c r="R178" s="50"/>
      <c r="S178" s="13"/>
      <c r="T178" s="13"/>
      <c r="U178" s="13"/>
      <c r="V178" s="13"/>
      <c r="W178" s="13"/>
      <c r="X178" s="13"/>
      <c r="Y178" s="13"/>
      <c r="Z178" s="160"/>
      <c r="AA178" s="160"/>
      <c r="AB178" s="160"/>
      <c r="AC178" s="160"/>
      <c r="AD178" s="13"/>
    </row>
    <row r="179" spans="1:30" ht="12.75">
      <c r="A179" s="13"/>
      <c r="B179" s="13"/>
      <c r="C179" s="13"/>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17"/>
      <c r="Q179" s="51"/>
      <c r="R179" s="50"/>
      <c r="S179" s="13"/>
      <c r="T179" s="13"/>
      <c r="U179" s="13"/>
      <c r="V179" s="13"/>
      <c r="W179" s="13"/>
      <c r="X179" s="13"/>
      <c r="Y179" s="13"/>
      <c r="Z179" s="160"/>
      <c r="AA179" s="160"/>
      <c r="AB179" s="160"/>
      <c r="AC179" s="160"/>
      <c r="AD179" s="13"/>
    </row>
    <row r="180" spans="1:30" ht="12.75">
      <c r="A180" s="13"/>
      <c r="B180" s="13"/>
      <c r="C180" s="13"/>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17"/>
      <c r="Q180" s="51"/>
      <c r="R180" s="50"/>
      <c r="S180" s="13"/>
      <c r="T180" s="13"/>
      <c r="U180" s="13"/>
      <c r="V180" s="13"/>
      <c r="W180" s="13"/>
      <c r="X180" s="13"/>
      <c r="Y180" s="13"/>
      <c r="Z180" s="160"/>
      <c r="AA180" s="160"/>
      <c r="AB180" s="160"/>
      <c r="AC180" s="160"/>
      <c r="AD180" s="13"/>
    </row>
    <row r="181" spans="1:30" ht="12.75">
      <c r="A181" s="13"/>
      <c r="B181" s="13"/>
      <c r="C181" s="13"/>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17"/>
      <c r="Q181" s="51"/>
      <c r="R181" s="50"/>
      <c r="S181" s="13"/>
      <c r="T181" s="13"/>
      <c r="U181" s="13"/>
      <c r="V181" s="13"/>
      <c r="W181" s="13"/>
      <c r="X181" s="13"/>
      <c r="Y181" s="13"/>
      <c r="Z181" s="160"/>
      <c r="AA181" s="160"/>
      <c r="AB181" s="160"/>
      <c r="AC181" s="160"/>
      <c r="AD181" s="13"/>
    </row>
    <row r="182" spans="1:30" ht="12.75">
      <c r="A182" s="13"/>
      <c r="B182" s="13"/>
      <c r="C182" s="13"/>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17"/>
      <c r="Q182" s="51"/>
      <c r="R182" s="50"/>
      <c r="S182" s="13"/>
      <c r="T182" s="13"/>
      <c r="U182" s="13"/>
      <c r="V182" s="13"/>
      <c r="W182" s="13"/>
      <c r="X182" s="13"/>
      <c r="Y182" s="13"/>
      <c r="Z182" s="160"/>
      <c r="AA182" s="160"/>
      <c r="AB182" s="160"/>
      <c r="AC182" s="160"/>
      <c r="AD182" s="13"/>
    </row>
    <row r="183" spans="1:30" ht="12.75">
      <c r="A183" s="13"/>
      <c r="B183" s="13"/>
      <c r="C183" s="13"/>
      <c r="D183" s="19" t="s">
        <v>150</v>
      </c>
      <c r="E183" s="19" t="s">
        <v>150</v>
      </c>
      <c r="F183" s="17" t="s">
        <v>150</v>
      </c>
      <c r="G183" s="19" t="s">
        <v>150</v>
      </c>
      <c r="H183" s="19" t="s">
        <v>150</v>
      </c>
      <c r="I183" s="19" t="s">
        <v>150</v>
      </c>
      <c r="J183" s="19" t="s">
        <v>150</v>
      </c>
      <c r="K183" s="19" t="s">
        <v>150</v>
      </c>
      <c r="L183" s="19" t="s">
        <v>150</v>
      </c>
      <c r="M183" s="19" t="s">
        <v>150</v>
      </c>
      <c r="N183" s="19" t="s">
        <v>150</v>
      </c>
      <c r="O183" s="17" t="s">
        <v>150</v>
      </c>
      <c r="P183" s="17"/>
      <c r="Q183" s="51"/>
      <c r="R183" s="50"/>
      <c r="S183" s="13"/>
      <c r="T183" s="13"/>
      <c r="U183" s="13"/>
      <c r="V183" s="13"/>
      <c r="W183" s="13"/>
      <c r="X183" s="13"/>
      <c r="Y183" s="13"/>
      <c r="Z183" s="160"/>
      <c r="AA183" s="160"/>
      <c r="AB183" s="160"/>
      <c r="AC183" s="160"/>
      <c r="AD183" s="13"/>
    </row>
    <row r="184" spans="1:30" ht="12.75">
      <c r="A184" s="13"/>
      <c r="B184" s="13"/>
      <c r="C184" s="13"/>
      <c r="D184" s="19" t="s">
        <v>150</v>
      </c>
      <c r="E184" s="19" t="s">
        <v>150</v>
      </c>
      <c r="F184" s="17" t="s">
        <v>150</v>
      </c>
      <c r="G184" s="19" t="s">
        <v>150</v>
      </c>
      <c r="H184" s="19" t="s">
        <v>150</v>
      </c>
      <c r="I184" s="19" t="s">
        <v>150</v>
      </c>
      <c r="J184" s="19" t="s">
        <v>150</v>
      </c>
      <c r="K184" s="19" t="s">
        <v>150</v>
      </c>
      <c r="L184" s="19" t="s">
        <v>150</v>
      </c>
      <c r="M184" s="19" t="s">
        <v>150</v>
      </c>
      <c r="N184" s="19" t="s">
        <v>150</v>
      </c>
      <c r="O184" s="17" t="s">
        <v>150</v>
      </c>
      <c r="P184" s="17"/>
      <c r="Q184" s="51"/>
      <c r="R184" s="50"/>
      <c r="S184" s="13"/>
      <c r="T184" s="13"/>
      <c r="U184" s="13"/>
      <c r="V184" s="13"/>
      <c r="W184" s="13"/>
      <c r="X184" s="13"/>
      <c r="Y184" s="13"/>
      <c r="Z184" s="160"/>
      <c r="AA184" s="160"/>
      <c r="AB184" s="160"/>
      <c r="AC184" s="160"/>
      <c r="AD184" s="13"/>
    </row>
    <row r="185" spans="1:30" ht="12.75">
      <c r="A185" s="13"/>
      <c r="B185" s="13"/>
      <c r="C185" s="13"/>
      <c r="D185" s="19" t="s">
        <v>150</v>
      </c>
      <c r="E185" s="19" t="s">
        <v>150</v>
      </c>
      <c r="F185" s="17" t="s">
        <v>150</v>
      </c>
      <c r="G185" s="19" t="s">
        <v>150</v>
      </c>
      <c r="H185" s="19" t="s">
        <v>150</v>
      </c>
      <c r="I185" s="19" t="s">
        <v>150</v>
      </c>
      <c r="J185" s="19" t="s">
        <v>150</v>
      </c>
      <c r="K185" s="19" t="s">
        <v>150</v>
      </c>
      <c r="L185" s="19" t="s">
        <v>150</v>
      </c>
      <c r="M185" s="19" t="s">
        <v>150</v>
      </c>
      <c r="N185" s="19" t="s">
        <v>150</v>
      </c>
      <c r="O185" s="17" t="s">
        <v>150</v>
      </c>
      <c r="P185" s="17"/>
      <c r="Q185" s="51"/>
      <c r="R185" s="50"/>
      <c r="S185" s="13"/>
      <c r="T185" s="13"/>
      <c r="U185" s="13"/>
      <c r="V185" s="13"/>
      <c r="W185" s="13"/>
      <c r="X185" s="13"/>
      <c r="Y185" s="13"/>
      <c r="Z185" s="160"/>
      <c r="AA185" s="160"/>
      <c r="AB185" s="160"/>
      <c r="AC185" s="160"/>
      <c r="AD185" s="13"/>
    </row>
  </sheetData>
  <mergeCells count="3">
    <mergeCell ref="B143:O143"/>
    <mergeCell ref="B144:O144"/>
    <mergeCell ref="B145:O145"/>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6"/>
  <sheetViews>
    <sheetView workbookViewId="0" topLeftCell="B1">
      <pane xSplit="4" ySplit="16" topLeftCell="O35" activePane="bottomRight" state="frozen"/>
      <selection pane="topLeft" activeCell="B1" sqref="B1"/>
      <selection pane="topRight" activeCell="F1" sqref="F1"/>
      <selection pane="bottomLeft" activeCell="B4" sqref="B4"/>
      <selection pane="bottomRight" activeCell="CJ17" sqref="CJ17"/>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customWidth="1" outlineLevel="1"/>
    <col min="6" max="7" width="10.140625" style="13" customWidth="1"/>
    <col min="8" max="8" width="10.140625" style="23" customWidth="1"/>
    <col min="9" max="10" width="8.7109375" style="24" customWidth="1"/>
    <col min="11" max="12" width="11.140625" style="13" bestFit="1" customWidth="1"/>
    <col min="13" max="14" width="10.140625" style="13" customWidth="1"/>
    <col min="15" max="18" width="9.28125" style="13" customWidth="1"/>
    <col min="19" max="19" width="13.57421875" style="13" customWidth="1"/>
    <col min="20" max="20" width="15.28125" style="13" bestFit="1" customWidth="1"/>
    <col min="21" max="22" width="9.28125" style="13" customWidth="1"/>
    <col min="23" max="23" width="11.8515625" style="13" customWidth="1"/>
    <col min="24" max="24" width="10.28125" style="13" bestFit="1" customWidth="1"/>
    <col min="25" max="25" width="15.28125" style="13" customWidth="1"/>
    <col min="26" max="26" width="11.00390625" style="13" bestFit="1" customWidth="1"/>
    <col min="27" max="30" width="11.00390625" style="13" customWidth="1"/>
    <col min="31" max="31" width="16.57421875" style="13" bestFit="1" customWidth="1"/>
    <col min="32" max="32" width="11.00390625" style="13" customWidth="1"/>
    <col min="33" max="33" width="14.28125" style="13" bestFit="1" customWidth="1"/>
    <col min="34" max="34" width="11.00390625" style="13" customWidth="1"/>
    <col min="35" max="35" width="14.28125" style="13" customWidth="1"/>
    <col min="36" max="43" width="11.00390625" style="13" customWidth="1"/>
    <col min="44" max="44" width="20.140625" style="13" customWidth="1"/>
    <col min="45" max="45" width="17.7109375" style="13" bestFit="1" customWidth="1"/>
    <col min="46" max="64" width="11.00390625" style="13" customWidth="1"/>
    <col min="65" max="70" width="11.28125" style="13" customWidth="1"/>
    <col min="71" max="71" width="9.57421875" style="13" bestFit="1" customWidth="1"/>
    <col min="72" max="73" width="9.57421875" style="13" customWidth="1"/>
    <col min="74" max="74" width="11.140625" style="13" customWidth="1"/>
    <col min="75" max="75" width="11.57421875" style="13" customWidth="1"/>
    <col min="76" max="76" width="9.57421875" style="13" customWidth="1"/>
    <col min="77" max="77" width="9.57421875" style="13" bestFit="1" customWidth="1"/>
    <col min="78" max="78" width="9.57421875" style="13" customWidth="1"/>
    <col min="79" max="80" width="9.140625" style="13" customWidth="1"/>
    <col min="81" max="81" width="10.7109375" style="13" customWidth="1"/>
    <col min="82" max="82" width="13.421875" style="13" customWidth="1"/>
    <col min="83" max="84" width="10.28125" style="13" bestFit="1" customWidth="1"/>
    <col min="85" max="85" width="11.8515625" style="13" customWidth="1"/>
    <col min="86" max="89" width="9.140625" style="13" customWidth="1"/>
    <col min="90" max="90" width="18.7109375" style="13" bestFit="1" customWidth="1"/>
    <col min="91" max="91" width="18.7109375" style="13" customWidth="1"/>
    <col min="92" max="92" width="15.00390625" style="13" bestFit="1" customWidth="1"/>
    <col min="93" max="93" width="17.7109375" style="13" bestFit="1" customWidth="1"/>
    <col min="94" max="94" width="9.140625" style="13" customWidth="1"/>
    <col min="95" max="95" width="15.7109375" style="13" bestFit="1" customWidth="1"/>
    <col min="96" max="96" width="21.00390625" style="13" bestFit="1" customWidth="1"/>
    <col min="97" max="97" width="14.57421875" style="13" bestFit="1" customWidth="1"/>
    <col min="98" max="98" width="15.00390625" style="13" bestFit="1" customWidth="1"/>
    <col min="99" max="99" width="9.140625" style="13" customWidth="1"/>
    <col min="100" max="100" width="15.00390625" style="13" bestFit="1" customWidth="1"/>
    <col min="101" max="101" width="20.28125" style="13" bestFit="1" customWidth="1"/>
    <col min="102" max="103" width="15.00390625" style="13" bestFit="1" customWidth="1"/>
    <col min="104" max="16384" width="9.140625" style="13" customWidth="1"/>
  </cols>
  <sheetData>
    <row r="1" spans="14:70" ht="13.5" thickBot="1">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15:64" ht="13.5" thickBot="1">
      <c r="O2" s="56"/>
      <c r="P2" s="56"/>
      <c r="Q2" s="56"/>
      <c r="R2" s="56"/>
      <c r="S2" s="54" t="s">
        <v>211</v>
      </c>
      <c r="T2" s="84">
        <v>2200000000</v>
      </c>
      <c r="U2" s="56"/>
      <c r="V2" s="56"/>
      <c r="W2" s="56"/>
      <c r="Y2" s="54" t="s">
        <v>197</v>
      </c>
      <c r="Z2" s="77">
        <v>90</v>
      </c>
      <c r="AA2" s="56"/>
      <c r="AB2" s="56"/>
      <c r="AC2" s="56"/>
      <c r="AD2" s="56"/>
      <c r="AE2" s="56"/>
      <c r="AF2" s="56"/>
      <c r="AG2" s="189" t="s">
        <v>315</v>
      </c>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row>
    <row r="3" spans="15:91" ht="12.75">
      <c r="O3" s="56"/>
      <c r="P3" s="56"/>
      <c r="Q3" s="56"/>
      <c r="R3" s="56"/>
      <c r="S3" s="54" t="s">
        <v>201</v>
      </c>
      <c r="T3" s="57">
        <f>SUM(H17:H150)</f>
        <v>7063.367000000001</v>
      </c>
      <c r="U3" s="56"/>
      <c r="V3" s="56"/>
      <c r="W3" s="56"/>
      <c r="Y3" s="54" t="s">
        <v>198</v>
      </c>
      <c r="Z3" s="77">
        <v>140</v>
      </c>
      <c r="AA3" s="56"/>
      <c r="AB3" s="56"/>
      <c r="AC3" s="56"/>
      <c r="AD3" s="56"/>
      <c r="AE3" s="56"/>
      <c r="AF3" s="56"/>
      <c r="AG3" s="187" t="s">
        <v>298</v>
      </c>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CL3" s="53"/>
      <c r="CM3" s="53"/>
    </row>
    <row r="4" spans="15:91" ht="12.75">
      <c r="O4" s="57"/>
      <c r="P4" s="57"/>
      <c r="Q4" s="57"/>
      <c r="R4" s="57"/>
      <c r="S4" s="83" t="s">
        <v>210</v>
      </c>
      <c r="T4" s="56">
        <f>T2/(T3*8760)</f>
        <v>35.55550101126212</v>
      </c>
      <c r="U4" s="57"/>
      <c r="V4" s="57"/>
      <c r="W4" s="57"/>
      <c r="AA4" s="57"/>
      <c r="AB4" s="57"/>
      <c r="AC4" s="57"/>
      <c r="AD4" s="57"/>
      <c r="AE4" s="57"/>
      <c r="AF4" s="57"/>
      <c r="AG4" s="188" t="s">
        <v>313</v>
      </c>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T4" s="54"/>
      <c r="BU4" s="57"/>
      <c r="BV4" s="57"/>
      <c r="BW4" s="57"/>
      <c r="CL4" s="53"/>
      <c r="CM4" s="53"/>
    </row>
    <row r="5" spans="15:75" ht="12.75">
      <c r="O5" s="57"/>
      <c r="P5" s="57"/>
      <c r="Q5" s="57"/>
      <c r="R5" s="57"/>
      <c r="S5" s="54" t="s">
        <v>191</v>
      </c>
      <c r="T5" s="78">
        <v>63.12</v>
      </c>
      <c r="U5" s="57"/>
      <c r="V5" s="57"/>
      <c r="W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T5" s="54"/>
      <c r="BU5" s="57"/>
      <c r="BV5" s="57"/>
      <c r="BW5" s="57"/>
    </row>
    <row r="6" spans="15:85" ht="12.75">
      <c r="O6" s="57"/>
      <c r="P6" s="57"/>
      <c r="Q6" s="57"/>
      <c r="R6" s="57"/>
      <c r="W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T6" s="54"/>
      <c r="BU6" s="57"/>
      <c r="BV6" s="57"/>
      <c r="BW6" s="57"/>
      <c r="CE6" s="54"/>
      <c r="CF6" s="54"/>
      <c r="CG6" s="56"/>
    </row>
    <row r="7" spans="15:93" ht="12.75">
      <c r="O7" s="87"/>
      <c r="P7" s="87"/>
      <c r="Q7" s="87"/>
      <c r="R7" s="87"/>
      <c r="S7" s="85"/>
      <c r="T7" s="85"/>
      <c r="U7" s="85"/>
      <c r="V7" s="85"/>
      <c r="W7" s="87"/>
      <c r="X7" s="85"/>
      <c r="Y7" s="98"/>
      <c r="Z7" s="85"/>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5"/>
      <c r="BN7" s="85"/>
      <c r="BO7" s="85"/>
      <c r="BP7" s="85"/>
      <c r="BQ7" s="85"/>
      <c r="BR7" s="85"/>
      <c r="BS7" s="85"/>
      <c r="BT7" s="95"/>
      <c r="BU7" s="87"/>
      <c r="BV7" s="87"/>
      <c r="BW7" s="87"/>
      <c r="BX7" s="85"/>
      <c r="BY7" s="85"/>
      <c r="BZ7" s="85"/>
      <c r="CA7" s="85"/>
      <c r="CB7" s="85"/>
      <c r="CC7" s="85"/>
      <c r="CD7" s="85"/>
      <c r="CE7" s="95"/>
      <c r="CF7" s="95"/>
      <c r="CG7" s="96"/>
      <c r="CH7" s="85"/>
      <c r="CI7" s="85"/>
      <c r="CJ7" s="85"/>
      <c r="CM7" s="85" t="b">
        <f ca="1">ROUND(CL9,0)=ROUND(CM9,0)</f>
        <v>1</v>
      </c>
      <c r="CN7" s="85" t="b">
        <f ca="1">ROUND(CL9,0)=ROUND(CN9,0)</f>
        <v>1</v>
      </c>
      <c r="CO7" s="85" t="b">
        <f ca="1">ROUND(CL9,0)=ROUND(CO9,0)</f>
        <v>1</v>
      </c>
    </row>
    <row r="8" spans="15:93" ht="12.75">
      <c r="O8" s="87"/>
      <c r="P8" s="87"/>
      <c r="Q8" s="87"/>
      <c r="R8" s="87"/>
      <c r="T8" s="85"/>
      <c r="U8" s="85"/>
      <c r="V8" s="85"/>
      <c r="W8" s="87"/>
      <c r="X8" s="85"/>
      <c r="Z8" s="85"/>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5"/>
      <c r="BN8" s="85"/>
      <c r="BO8" s="85"/>
      <c r="BP8" s="85"/>
      <c r="BQ8" s="85"/>
      <c r="BR8" s="85"/>
      <c r="BS8" s="85"/>
      <c r="BT8" s="95"/>
      <c r="BU8" s="87"/>
      <c r="BV8" s="87"/>
      <c r="BW8" s="87"/>
      <c r="BX8" s="85"/>
      <c r="BY8" s="85"/>
      <c r="BZ8" s="85"/>
      <c r="CA8" s="85"/>
      <c r="CB8" s="85"/>
      <c r="CC8" s="85"/>
      <c r="CD8" s="85"/>
      <c r="CE8" s="95"/>
      <c r="CF8" s="95"/>
      <c r="CG8" s="96"/>
      <c r="CH8" s="85"/>
      <c r="CI8" s="85"/>
      <c r="CJ8" s="85"/>
      <c r="CL8" s="101" t="str">
        <f>O15</f>
        <v>Rollover Tier</v>
      </c>
      <c r="CM8" s="102" t="str">
        <f>AN15</f>
        <v>NRU Proposal Tier</v>
      </c>
      <c r="CN8" s="102" t="str">
        <f>BM15</f>
        <v>BPA Jan24 Tier</v>
      </c>
      <c r="CO8" s="103" t="str">
        <f>CA15</f>
        <v>Melded</v>
      </c>
    </row>
    <row r="9" spans="15:93" ht="24.75" thickBot="1">
      <c r="O9" s="87"/>
      <c r="P9" s="87"/>
      <c r="Q9" s="87"/>
      <c r="R9" s="87"/>
      <c r="S9" s="86" t="s">
        <v>223</v>
      </c>
      <c r="T9" s="96"/>
      <c r="U9" s="98"/>
      <c r="V9" s="87"/>
      <c r="W9" s="87"/>
      <c r="X9" s="85"/>
      <c r="Y9" s="86" t="s">
        <v>229</v>
      </c>
      <c r="Z9" s="96"/>
      <c r="AA9" s="85"/>
      <c r="AB9" s="85"/>
      <c r="AC9" s="85"/>
      <c r="AD9" s="85"/>
      <c r="AE9" s="85"/>
      <c r="AF9" s="85"/>
      <c r="AG9" s="85"/>
      <c r="AH9" s="85"/>
      <c r="AI9" s="85"/>
      <c r="AJ9" s="85"/>
      <c r="AK9" s="85"/>
      <c r="AL9" s="86" t="s">
        <v>304</v>
      </c>
      <c r="AM9" s="100"/>
      <c r="AN9" s="85"/>
      <c r="AO9" s="85"/>
      <c r="AP9" s="85"/>
      <c r="AQ9" s="85"/>
      <c r="AR9" s="86" t="s">
        <v>223</v>
      </c>
      <c r="AS9" s="85"/>
      <c r="AU9" s="85"/>
      <c r="AV9" s="85"/>
      <c r="AW9" s="85"/>
      <c r="AX9" s="86" t="s">
        <v>229</v>
      </c>
      <c r="AY9" s="85"/>
      <c r="AZ9" s="85"/>
      <c r="BA9" s="85"/>
      <c r="BB9" s="85"/>
      <c r="BC9" s="85"/>
      <c r="BD9" s="85"/>
      <c r="BE9" s="85"/>
      <c r="BF9" s="85"/>
      <c r="BG9" s="85"/>
      <c r="BH9" s="85"/>
      <c r="BI9" s="85"/>
      <c r="BK9" s="86" t="s">
        <v>304</v>
      </c>
      <c r="BL9" s="85"/>
      <c r="BM9" s="85"/>
      <c r="BN9" s="85"/>
      <c r="BO9" s="85"/>
      <c r="BP9" s="85"/>
      <c r="BQ9" s="86" t="s">
        <v>223</v>
      </c>
      <c r="BR9" s="85"/>
      <c r="BS9" s="85"/>
      <c r="BT9" s="95"/>
      <c r="BU9" s="96"/>
      <c r="BV9" s="96"/>
      <c r="BW9" s="86" t="s">
        <v>229</v>
      </c>
      <c r="BX9" s="85"/>
      <c r="BY9" s="85"/>
      <c r="BZ9" s="85"/>
      <c r="CA9" s="85"/>
      <c r="CB9" s="85"/>
      <c r="CC9" s="86" t="s">
        <v>223</v>
      </c>
      <c r="CE9" s="85"/>
      <c r="CF9" s="85"/>
      <c r="CG9" s="86" t="s">
        <v>229</v>
      </c>
      <c r="CH9" s="85"/>
      <c r="CI9" s="85"/>
      <c r="CJ9" s="85"/>
      <c r="CL9" s="90">
        <f ca="1">X14+Y12-Y10</f>
        <v>1112.0132699999988</v>
      </c>
      <c r="CM9" s="90">
        <f ca="1">AW14+AX12-AX10</f>
        <v>1112.0132700000022</v>
      </c>
      <c r="CN9" s="90">
        <f ca="1">BV14+BW12-BW10</f>
        <v>1112.0132699999979</v>
      </c>
      <c r="CO9" s="90">
        <f ca="1">CG12</f>
        <v>1112.0132700000004</v>
      </c>
    </row>
    <row r="10" spans="13:88" ht="13.5" thickBot="1">
      <c r="M10" s="54"/>
      <c r="O10" s="96"/>
      <c r="P10" s="96"/>
      <c r="Q10" s="96"/>
      <c r="R10" s="96"/>
      <c r="S10" s="94">
        <f>MAX(0,$T$3-Q14)</f>
        <v>388.97800000000007</v>
      </c>
      <c r="T10" s="85"/>
      <c r="U10" s="96"/>
      <c r="V10" s="96"/>
      <c r="W10" s="87"/>
      <c r="X10" s="85"/>
      <c r="Y10" s="94">
        <f ca="1">MAX(0,$T$3-W14)</f>
        <v>161.86463000000094</v>
      </c>
      <c r="Z10" s="85"/>
      <c r="AA10" s="85"/>
      <c r="AB10" s="85"/>
      <c r="AC10" s="85"/>
      <c r="AD10" s="85"/>
      <c r="AE10" s="185" t="s">
        <v>322</v>
      </c>
      <c r="AF10" s="85"/>
      <c r="AG10" s="85"/>
      <c r="AH10" s="85"/>
      <c r="AI10" s="85"/>
      <c r="AJ10" s="85"/>
      <c r="AK10" s="85"/>
      <c r="AL10" s="93">
        <v>7500</v>
      </c>
      <c r="AM10" s="93"/>
      <c r="AO10" s="85"/>
      <c r="AP10" s="85"/>
      <c r="AQ10" s="85"/>
      <c r="AR10" s="94">
        <f>MAX(0,$T$3-AP14)</f>
        <v>0</v>
      </c>
      <c r="AS10" s="85"/>
      <c r="AT10" s="85"/>
      <c r="AU10" s="85"/>
      <c r="AV10" s="85"/>
      <c r="AW10" s="85"/>
      <c r="AX10" s="94">
        <f ca="1">MAX(0,$T$3-AV14)</f>
        <v>0</v>
      </c>
      <c r="AY10" s="85"/>
      <c r="AZ10" s="85"/>
      <c r="BA10" s="85"/>
      <c r="BB10" s="85"/>
      <c r="BC10" s="85"/>
      <c r="BD10" s="85"/>
      <c r="BE10" s="85"/>
      <c r="BF10" s="85"/>
      <c r="BG10" s="85"/>
      <c r="BH10" s="85"/>
      <c r="BI10" s="85"/>
      <c r="BK10" s="93">
        <v>7063.367000000001</v>
      </c>
      <c r="BL10" s="85"/>
      <c r="BM10" s="85"/>
      <c r="BN10" s="85"/>
      <c r="BO10" s="85"/>
      <c r="BP10" s="85"/>
      <c r="BQ10" s="94">
        <f>MAX(0,$T$3-BO14)</f>
        <v>190.62460965858827</v>
      </c>
      <c r="BR10" s="85"/>
      <c r="BS10" s="85"/>
      <c r="BT10" s="85"/>
      <c r="BU10" s="85"/>
      <c r="BV10" s="85"/>
      <c r="BW10" s="94">
        <f ca="1">MAX(0,$T$3-BU14)</f>
        <v>125.22245865007335</v>
      </c>
      <c r="BX10" s="85"/>
      <c r="BY10" s="85"/>
      <c r="BZ10" s="85"/>
      <c r="CA10" s="85"/>
      <c r="CB10" s="85"/>
      <c r="CC10" s="88">
        <f>MAX(0,$T$3-CB14)</f>
        <v>0</v>
      </c>
      <c r="CE10" s="85"/>
      <c r="CF10" s="85"/>
      <c r="CG10" s="88">
        <f ca="1">MAX(0,$T$3-CF14)</f>
        <v>0</v>
      </c>
      <c r="CH10" s="85"/>
      <c r="CI10" s="85"/>
      <c r="CJ10" s="85"/>
    </row>
    <row r="11" spans="14:93" ht="36">
      <c r="N11" s="85"/>
      <c r="O11" s="85"/>
      <c r="P11" s="85"/>
      <c r="Q11" s="85"/>
      <c r="R11" s="85"/>
      <c r="S11" s="86" t="s">
        <v>227</v>
      </c>
      <c r="T11" s="85"/>
      <c r="U11" s="85"/>
      <c r="V11" s="85"/>
      <c r="W11" s="87"/>
      <c r="X11" s="85"/>
      <c r="Y11" s="86" t="s">
        <v>228</v>
      </c>
      <c r="Z11" s="85"/>
      <c r="AA11" s="85"/>
      <c r="AB11" s="85"/>
      <c r="AC11" s="85"/>
      <c r="AD11" s="85"/>
      <c r="AE11" s="184" t="s">
        <v>312</v>
      </c>
      <c r="AF11" s="100"/>
      <c r="AG11" s="85"/>
      <c r="AH11" s="85"/>
      <c r="AI11" s="85"/>
      <c r="AJ11" s="85"/>
      <c r="AK11" s="85"/>
      <c r="AL11" s="86" t="s">
        <v>309</v>
      </c>
      <c r="AM11" s="86"/>
      <c r="AN11" s="86" t="s">
        <v>233</v>
      </c>
      <c r="AO11" s="85"/>
      <c r="AP11" s="85"/>
      <c r="AQ11" s="85"/>
      <c r="AR11" s="86" t="s">
        <v>227</v>
      </c>
      <c r="AS11" s="85"/>
      <c r="AT11" s="85"/>
      <c r="AU11" s="85"/>
      <c r="AV11" s="87"/>
      <c r="AW11" s="85"/>
      <c r="AX11" s="86" t="s">
        <v>228</v>
      </c>
      <c r="AY11" s="85"/>
      <c r="AZ11" s="85"/>
      <c r="BA11" s="85"/>
      <c r="BB11" s="85"/>
      <c r="BC11" s="85"/>
      <c r="BD11" s="85"/>
      <c r="BE11" s="85"/>
      <c r="BF11" s="85"/>
      <c r="BG11" s="85"/>
      <c r="BH11" s="85"/>
      <c r="BI11" s="85"/>
      <c r="BK11" s="86" t="s">
        <v>318</v>
      </c>
      <c r="BL11" s="85"/>
      <c r="BM11" s="85"/>
      <c r="BN11" s="85"/>
      <c r="BO11" s="85"/>
      <c r="BP11" s="85"/>
      <c r="BQ11" s="86" t="s">
        <v>227</v>
      </c>
      <c r="BR11" s="85"/>
      <c r="BS11" s="85"/>
      <c r="BT11" s="85"/>
      <c r="BU11" s="85"/>
      <c r="BV11" s="85"/>
      <c r="BW11" s="86" t="s">
        <v>228</v>
      </c>
      <c r="BX11" s="85"/>
      <c r="BY11" s="85"/>
      <c r="BZ11" s="85"/>
      <c r="CA11" s="85"/>
      <c r="CB11" s="85"/>
      <c r="CC11" s="86" t="s">
        <v>213</v>
      </c>
      <c r="CD11" s="85"/>
      <c r="CE11" s="85"/>
      <c r="CF11" s="85"/>
      <c r="CG11" s="86" t="s">
        <v>218</v>
      </c>
      <c r="CH11" s="85"/>
      <c r="CI11" s="85"/>
      <c r="CJ11" s="85"/>
      <c r="CK11" s="85"/>
      <c r="CL11" s="85"/>
      <c r="CM11" s="85"/>
      <c r="CN11" s="85"/>
      <c r="CO11" s="85"/>
    </row>
    <row r="12" spans="14:93" ht="12.75">
      <c r="N12" s="85"/>
      <c r="O12" s="85"/>
      <c r="P12" s="85"/>
      <c r="Q12" s="85"/>
      <c r="R12" s="85"/>
      <c r="S12" s="88">
        <f>MAX(0,Q14-$T$3)</f>
        <v>0</v>
      </c>
      <c r="T12" s="85"/>
      <c r="U12" s="85"/>
      <c r="V12" s="85"/>
      <c r="W12" s="87"/>
      <c r="X12" s="85"/>
      <c r="Y12" s="88">
        <f ca="1">MAX(0,W14-$T$3)</f>
        <v>0</v>
      </c>
      <c r="Z12" s="85"/>
      <c r="AA12" s="85"/>
      <c r="AB12" s="85"/>
      <c r="AC12" s="85"/>
      <c r="AD12" s="85"/>
      <c r="AE12" s="183" t="s">
        <v>313</v>
      </c>
      <c r="AF12" s="173"/>
      <c r="AG12" s="85"/>
      <c r="AH12" s="85"/>
      <c r="AI12" s="85"/>
      <c r="AJ12" s="85"/>
      <c r="AK12" s="85"/>
      <c r="AL12" s="93">
        <f>MAX(0,AK15-T3)</f>
        <v>0</v>
      </c>
      <c r="AM12" s="93"/>
      <c r="AN12" s="99">
        <v>0.5</v>
      </c>
      <c r="AO12" s="85"/>
      <c r="AP12" s="85"/>
      <c r="AQ12" s="85"/>
      <c r="AR12" s="88">
        <f>MAX(0,AP14-$T$3)</f>
        <v>5.355671506613362</v>
      </c>
      <c r="AS12" s="85"/>
      <c r="AT12" s="85"/>
      <c r="AU12" s="85"/>
      <c r="AV12" s="87"/>
      <c r="AW12" s="85"/>
      <c r="AX12" s="88">
        <f ca="1">MAX(0,AV14-$T$3)</f>
        <v>217.87654170095448</v>
      </c>
      <c r="AY12" s="85"/>
      <c r="AZ12" s="85"/>
      <c r="BA12" s="85"/>
      <c r="BB12" s="85"/>
      <c r="BC12" s="85"/>
      <c r="BD12" s="85"/>
      <c r="BE12" s="85"/>
      <c r="BF12" s="85"/>
      <c r="BG12" s="85"/>
      <c r="BH12" s="85"/>
      <c r="BI12" s="85"/>
      <c r="BK12" s="93">
        <f>MAX(0,$BJ$15-T3)</f>
        <v>0</v>
      </c>
      <c r="BL12" s="85"/>
      <c r="BM12" s="85"/>
      <c r="BN12" s="85"/>
      <c r="BO12" s="85"/>
      <c r="BP12" s="85"/>
      <c r="BQ12" s="90">
        <f>MAX(0,BO14-$T$3)</f>
        <v>0</v>
      </c>
      <c r="BR12" s="85"/>
      <c r="BS12" s="85"/>
      <c r="BT12" s="85"/>
      <c r="BU12" s="85"/>
      <c r="BV12" s="85"/>
      <c r="BW12" s="88">
        <f ca="1">MAX(0,BU14-$T$3)</f>
        <v>0</v>
      </c>
      <c r="BX12" s="85"/>
      <c r="BY12" s="85"/>
      <c r="BZ12" s="85"/>
      <c r="CA12" s="85"/>
      <c r="CB12" s="85"/>
      <c r="CC12" s="90">
        <f>MAX(0,CB14-$T$3)</f>
        <v>89.74299999999948</v>
      </c>
      <c r="CD12" s="85"/>
      <c r="CE12" s="85"/>
      <c r="CF12" s="85"/>
      <c r="CG12" s="90">
        <f ca="1">MAX(0,CF14-$T$3)</f>
        <v>1112.0132700000004</v>
      </c>
      <c r="CH12" s="85"/>
      <c r="CI12" s="85"/>
      <c r="CJ12" s="85"/>
      <c r="CK12" s="85"/>
      <c r="CL12" s="85"/>
      <c r="CM12" s="85"/>
      <c r="CN12" s="85"/>
      <c r="CO12" s="85"/>
    </row>
    <row r="13" spans="14:93" ht="48.75" thickBot="1">
      <c r="N13" s="85"/>
      <c r="O13" s="86" t="s">
        <v>212</v>
      </c>
      <c r="P13" s="86" t="s">
        <v>316</v>
      </c>
      <c r="Q13" s="86" t="s">
        <v>215</v>
      </c>
      <c r="R13" s="86" t="s">
        <v>225</v>
      </c>
      <c r="S13" s="86" t="s">
        <v>214</v>
      </c>
      <c r="T13" s="86" t="s">
        <v>216</v>
      </c>
      <c r="U13" s="85"/>
      <c r="V13" s="86" t="s">
        <v>232</v>
      </c>
      <c r="W13" s="86" t="s">
        <v>217</v>
      </c>
      <c r="X13" s="86" t="s">
        <v>226</v>
      </c>
      <c r="Y13" s="86" t="s">
        <v>219</v>
      </c>
      <c r="Z13" s="86" t="s">
        <v>220</v>
      </c>
      <c r="AA13" s="85"/>
      <c r="AB13" s="85"/>
      <c r="AC13" s="85"/>
      <c r="AD13" s="85"/>
      <c r="AF13" s="85"/>
      <c r="AG13" s="85"/>
      <c r="AH13" s="85"/>
      <c r="AI13" s="85"/>
      <c r="AJ13" s="85"/>
      <c r="AK13" s="85"/>
      <c r="AN13" s="86" t="s">
        <v>212</v>
      </c>
      <c r="AO13" s="86" t="s">
        <v>316</v>
      </c>
      <c r="AP13" s="86" t="s">
        <v>215</v>
      </c>
      <c r="AQ13" s="86" t="s">
        <v>225</v>
      </c>
      <c r="AR13" s="86" t="s">
        <v>214</v>
      </c>
      <c r="AS13" s="86" t="s">
        <v>216</v>
      </c>
      <c r="AT13" s="85"/>
      <c r="AU13" s="86" t="s">
        <v>232</v>
      </c>
      <c r="AV13" s="86" t="s">
        <v>217</v>
      </c>
      <c r="AW13" s="86" t="s">
        <v>226</v>
      </c>
      <c r="AX13" s="86" t="s">
        <v>219</v>
      </c>
      <c r="AY13" s="86" t="s">
        <v>220</v>
      </c>
      <c r="AZ13" s="100"/>
      <c r="BA13" s="85"/>
      <c r="BB13" s="85"/>
      <c r="BC13" s="85"/>
      <c r="BD13" s="85"/>
      <c r="BE13" s="85"/>
      <c r="BF13" s="85"/>
      <c r="BG13" s="85"/>
      <c r="BH13" s="85"/>
      <c r="BI13" s="85"/>
      <c r="BJ13" s="85"/>
      <c r="BK13" s="86" t="s">
        <v>319</v>
      </c>
      <c r="BL13" s="85"/>
      <c r="BM13" s="86" t="s">
        <v>212</v>
      </c>
      <c r="BN13" s="85"/>
      <c r="BO13" s="86" t="s">
        <v>215</v>
      </c>
      <c r="BP13" s="86" t="s">
        <v>225</v>
      </c>
      <c r="BQ13" s="86" t="s">
        <v>214</v>
      </c>
      <c r="BR13" s="86" t="s">
        <v>216</v>
      </c>
      <c r="BS13" s="85"/>
      <c r="BT13" s="86" t="s">
        <v>232</v>
      </c>
      <c r="BU13" s="86" t="s">
        <v>217</v>
      </c>
      <c r="BV13" s="86" t="s">
        <v>226</v>
      </c>
      <c r="BW13" s="86" t="s">
        <v>219</v>
      </c>
      <c r="BX13" s="86" t="s">
        <v>220</v>
      </c>
      <c r="BY13" s="85"/>
      <c r="BZ13" s="85"/>
      <c r="CA13" s="85"/>
      <c r="CB13" s="86" t="s">
        <v>222</v>
      </c>
      <c r="CC13" s="86" t="s">
        <v>224</v>
      </c>
      <c r="CD13" s="85"/>
      <c r="CE13" s="86" t="s">
        <v>232</v>
      </c>
      <c r="CF13" s="86" t="s">
        <v>230</v>
      </c>
      <c r="CG13" s="86" t="s">
        <v>231</v>
      </c>
      <c r="CH13" s="85"/>
      <c r="CJ13" s="85"/>
      <c r="CK13" s="85"/>
      <c r="CL13" s="85"/>
      <c r="CM13" s="85"/>
      <c r="CN13" s="85"/>
      <c r="CO13" s="85"/>
    </row>
    <row r="14" spans="2:103" s="1" customFormat="1" ht="16.5" thickBot="1">
      <c r="B14" s="2" t="s">
        <v>171</v>
      </c>
      <c r="C14" s="3"/>
      <c r="D14" s="4"/>
      <c r="E14" s="4"/>
      <c r="F14" s="5"/>
      <c r="G14" s="5"/>
      <c r="H14" s="6"/>
      <c r="I14" s="4"/>
      <c r="J14" s="4"/>
      <c r="K14" s="4"/>
      <c r="L14" s="4"/>
      <c r="N14" s="85"/>
      <c r="O14" s="89">
        <f>SUM(O17:O150)</f>
        <v>7063.367000000001</v>
      </c>
      <c r="P14" s="92">
        <f>SUM(P17:P150)</f>
        <v>7153.110000000001</v>
      </c>
      <c r="Q14" s="89">
        <f>SUM(Q17:Q150)</f>
        <v>6674.389000000001</v>
      </c>
      <c r="R14" s="90">
        <f>SUM(R17:R150)</f>
        <v>478.72099999999983</v>
      </c>
      <c r="S14" s="90">
        <f>SUM(S17:S150)</f>
        <v>388.97800000000007</v>
      </c>
      <c r="T14" s="91">
        <f>($T$2-S10*$T$5*8760+S12*$T$5*8760)/(Q14*8760)</f>
        <v>33.949064274110405</v>
      </c>
      <c r="U14" s="85"/>
      <c r="V14" s="92">
        <f ca="1">SUM(V17:V150)</f>
        <v>8175.3802700000015</v>
      </c>
      <c r="W14" s="92">
        <f ca="1">SUM(W17:W150)</f>
        <v>6901.50237</v>
      </c>
      <c r="X14" s="90">
        <f ca="1">SUM(X17:X150)</f>
        <v>1273.8778999999997</v>
      </c>
      <c r="Y14" s="93">
        <f ca="1">SUM(Y17:Y150)</f>
        <v>161.86462999999992</v>
      </c>
      <c r="Z14" s="91">
        <f ca="1">($T$2-Y10*$T$5*8760+Y12*$T$5*8760)/(W14*8760)</f>
        <v>34.90901605903751</v>
      </c>
      <c r="AA14" s="85"/>
      <c r="AB14" s="85"/>
      <c r="AC14" s="99">
        <v>2</v>
      </c>
      <c r="AD14" s="85"/>
      <c r="AE14" s="85"/>
      <c r="AF14" s="228" t="s">
        <v>322</v>
      </c>
      <c r="AG14" s="229"/>
      <c r="AH14" s="229"/>
      <c r="AI14" s="230"/>
      <c r="AJ14" s="85"/>
      <c r="AK14" s="85"/>
      <c r="AM14" s="37"/>
      <c r="AN14" s="90">
        <f>SUM(AN17:AN150)</f>
        <v>7500.000000000004</v>
      </c>
      <c r="AO14" s="90">
        <f>SUM(AO17:AO150)</f>
        <v>7153.110000000001</v>
      </c>
      <c r="AP14" s="89">
        <f>SUM(AP17:AP150)</f>
        <v>7068.7226715066145</v>
      </c>
      <c r="AQ14" s="90">
        <f>SUM(AQ17:AQ150)</f>
        <v>84.38732849338656</v>
      </c>
      <c r="AR14" s="90">
        <f>SUM(AR17:AR150)</f>
        <v>431.2773284933881</v>
      </c>
      <c r="AS14" s="91">
        <f>($T$2-AR10*$T$5*8760+AR12*$T$5*8760)/(AP14*8760)</f>
        <v>35.5763854636149</v>
      </c>
      <c r="AT14" s="85"/>
      <c r="AU14" s="92">
        <f ca="1">SUM(AU17:AU150)</f>
        <v>8175.3802700000015</v>
      </c>
      <c r="AV14" s="92">
        <f ca="1">SUM(AV17:AV150)</f>
        <v>7281.243541700956</v>
      </c>
      <c r="AW14" s="90">
        <f ca="1">SUM(AW17:AW150)</f>
        <v>894.1367282990477</v>
      </c>
      <c r="AX14" s="93">
        <f ca="1">SUM(AX17:AX150)</f>
        <v>218.756458299049</v>
      </c>
      <c r="AY14" s="91">
        <f ca="1">($T$2-AX10*$T$5*8760+AX12*$T$5*8760)/(AV14*8760)</f>
        <v>36.38031310262951</v>
      </c>
      <c r="AZ14" s="91"/>
      <c r="BA14" s="85"/>
      <c r="BB14" s="85"/>
      <c r="BC14" s="99">
        <v>2</v>
      </c>
      <c r="BD14" s="85"/>
      <c r="BE14" s="85"/>
      <c r="BF14" s="231" t="s">
        <v>322</v>
      </c>
      <c r="BG14" s="232"/>
      <c r="BH14" s="232"/>
      <c r="BI14" s="85"/>
      <c r="BJ14" s="85"/>
      <c r="BK14" s="93">
        <f>IF($BJ$15-T3&lt;0,($BJ$15-T3)*-1,0)</f>
        <v>132.96925000000192</v>
      </c>
      <c r="BL14" s="85"/>
      <c r="BM14" s="89">
        <f>SUM(BM17:BM150)</f>
        <v>7063.367000000002</v>
      </c>
      <c r="BN14" s="85"/>
      <c r="BO14" s="89">
        <f>SUM(BO17:BO150)</f>
        <v>6872.742390341413</v>
      </c>
      <c r="BP14" s="90">
        <f>SUM(BP17:BP150)</f>
        <v>280.3676096585864</v>
      </c>
      <c r="BQ14" s="89">
        <f>SUM(BQ17:BQ150)</f>
        <v>190.62460965858824</v>
      </c>
      <c r="BR14" s="91">
        <f>($T$2-BQ10*$T$5*8760+BQ12*$T$5*8760)/(BO14*8760)</f>
        <v>34.790963136607154</v>
      </c>
      <c r="BS14" s="85"/>
      <c r="BT14" s="92">
        <f ca="1">SUM(BT17:BT150)</f>
        <v>8175.3802700000015</v>
      </c>
      <c r="BU14" s="92">
        <f ca="1">SUM(BU17:BU150)</f>
        <v>6938.144541349928</v>
      </c>
      <c r="BV14" s="90">
        <f ca="1">SUM(BV17:BV150)</f>
        <v>1237.2357286500712</v>
      </c>
      <c r="BW14" s="93">
        <f ca="1">SUM(BW17:BW150)</f>
        <v>125.22245865007308</v>
      </c>
      <c r="BX14" s="91">
        <f ca="1">($T$2-BW10*$T$5*8760+BW12*$T$5*8760)/(BU14*8760)</f>
        <v>35.05800570624853</v>
      </c>
      <c r="BY14" s="85"/>
      <c r="BZ14" s="85"/>
      <c r="CA14" s="85"/>
      <c r="CB14" s="89">
        <f>SUM(CB17:CB150)</f>
        <v>7153.110000000001</v>
      </c>
      <c r="CC14" s="91">
        <f>IF(CC12=0,($T$2-CC10*$T$5*8760)/(CB14*8760),($T$2+CC12*$T$5*8760)/(CB14*8760))</f>
        <v>35.90132553133049</v>
      </c>
      <c r="CD14" s="85"/>
      <c r="CE14" s="92">
        <f ca="1">SUM(CE17:CE150)</f>
        <v>8175.3802700000015</v>
      </c>
      <c r="CF14" s="89">
        <f ca="1">SUM(CF17:CF150)</f>
        <v>8175.3802700000015</v>
      </c>
      <c r="CG14" s="91">
        <f ca="1">IF(CG12=0,($T$2-CG10*$T$5*8760)/(CF14*8760),($T$2+CG12*$T$5*8760)/(CF14*8760))</f>
        <v>39.30481757441425</v>
      </c>
      <c r="CH14" s="85"/>
      <c r="CI14" s="85"/>
      <c r="CJ14" s="85"/>
      <c r="CK14" s="85"/>
      <c r="CL14" s="85"/>
      <c r="CM14" s="85" t="b">
        <f ca="1">ROUND(CL16,0)=ROUND(CM16,0)</f>
        <v>1</v>
      </c>
      <c r="CN14" s="85" t="b">
        <f ca="1">ROUND(CL16,0)=ROUND(CN16,0)</f>
        <v>1</v>
      </c>
      <c r="CO14" s="85" t="b">
        <f ca="1">ROUND(CL16,0)=ROUND(CO16,0)</f>
        <v>1</v>
      </c>
      <c r="CQ14" s="85"/>
      <c r="CR14" s="85" t="b">
        <f>ROUND(CQ16,0)=ROUND(CR16,0)</f>
        <v>1</v>
      </c>
      <c r="CS14" s="85" t="b">
        <f>ROUND(CQ16,0)=ROUND(CS16,0)</f>
        <v>1</v>
      </c>
      <c r="CT14" s="85" t="b">
        <f>ROUND(CQ16,0)=ROUND(CT16,0)</f>
        <v>1</v>
      </c>
      <c r="CV14" s="1" t="b">
        <f ca="1">ROUND(CV16,0)=ROUND(CL16,0)</f>
        <v>1</v>
      </c>
      <c r="CW14" s="85" t="b">
        <f ca="1">ROUND(CV16,0)=ROUND(CW16,0)</f>
        <v>1</v>
      </c>
      <c r="CX14" s="85" t="b">
        <f ca="1">ROUND(CV16,0)=ROUND(CX16,0)</f>
        <v>1</v>
      </c>
      <c r="CY14" s="85" t="b">
        <f ca="1">ROUND(CV16,0)=ROUND(CY16,0)</f>
        <v>1</v>
      </c>
    </row>
    <row r="15" spans="1:103" s="1" customFormat="1" ht="28.5" customHeight="1" outlineLevel="1">
      <c r="A15" s="7" t="s">
        <v>0</v>
      </c>
      <c r="B15" s="8"/>
      <c r="C15" s="3"/>
      <c r="D15" s="4"/>
      <c r="E15" s="4"/>
      <c r="F15" s="11" t="s">
        <v>151</v>
      </c>
      <c r="G15" s="11" t="s">
        <v>2</v>
      </c>
      <c r="H15" s="11" t="s">
        <v>3</v>
      </c>
      <c r="I15" s="10" t="s">
        <v>4</v>
      </c>
      <c r="J15" s="10" t="s">
        <v>5</v>
      </c>
      <c r="K15" s="10" t="s">
        <v>152</v>
      </c>
      <c r="L15" s="10" t="s">
        <v>153</v>
      </c>
      <c r="M15" s="10" t="s">
        <v>8</v>
      </c>
      <c r="N15" s="10" t="s">
        <v>9</v>
      </c>
      <c r="O15" s="216" t="s">
        <v>238</v>
      </c>
      <c r="P15" s="217"/>
      <c r="Q15" s="217"/>
      <c r="R15" s="217"/>
      <c r="S15" s="217"/>
      <c r="T15" s="217"/>
      <c r="U15" s="217"/>
      <c r="V15" s="217"/>
      <c r="W15" s="217"/>
      <c r="X15" s="217"/>
      <c r="Y15" s="217"/>
      <c r="Z15" s="217"/>
      <c r="AA15" s="218"/>
      <c r="AB15" s="166"/>
      <c r="AC15" s="174">
        <v>5</v>
      </c>
      <c r="AD15" s="166"/>
      <c r="AE15" s="170">
        <v>0.5</v>
      </c>
      <c r="AF15" s="179">
        <f>SUM(AF17:AF150)</f>
        <v>360.88000000000005</v>
      </c>
      <c r="AG15" s="179">
        <f>SUM(AG17:AG150)</f>
        <v>0</v>
      </c>
      <c r="AH15" s="180">
        <v>0.5</v>
      </c>
      <c r="AI15" s="186"/>
      <c r="AJ15" s="170">
        <v>0.5</v>
      </c>
      <c r="AK15" s="172">
        <f>SUM(AK17:AK150)</f>
        <v>7050.077999999999</v>
      </c>
      <c r="AL15" s="172">
        <f>IF($T$3&lt;AK15,AL10-$T$3-AL12,AL10-AK15)</f>
        <v>449.9220000000014</v>
      </c>
      <c r="AM15" s="172">
        <f>SUM(AM17:AM150)</f>
        <v>7500.000000000004</v>
      </c>
      <c r="AN15" s="225" t="s">
        <v>320</v>
      </c>
      <c r="AO15" s="226"/>
      <c r="AP15" s="226"/>
      <c r="AQ15" s="226"/>
      <c r="AR15" s="226"/>
      <c r="AS15" s="226"/>
      <c r="AT15" s="226"/>
      <c r="AU15" s="226"/>
      <c r="AV15" s="226"/>
      <c r="AW15" s="226"/>
      <c r="AX15" s="226"/>
      <c r="AY15" s="226"/>
      <c r="AZ15" s="226"/>
      <c r="BA15" s="227"/>
      <c r="BB15" s="165"/>
      <c r="BC15" s="175">
        <v>5</v>
      </c>
      <c r="BD15" s="165"/>
      <c r="BE15" s="176">
        <v>0.5</v>
      </c>
      <c r="BF15" s="179">
        <f>SUM(BF17:BF150)</f>
        <v>360.88000000000005</v>
      </c>
      <c r="BG15" s="179">
        <f>SUM(BG17:BG150)</f>
        <v>0</v>
      </c>
      <c r="BH15" s="180">
        <v>0.25</v>
      </c>
      <c r="BI15" s="176">
        <v>0.25</v>
      </c>
      <c r="BJ15" s="177">
        <f>SUM(BJ17:BJ150)</f>
        <v>6930.397749999999</v>
      </c>
      <c r="BK15" s="178">
        <f>IF($T$3&lt;BJ15,BK10-$T$3-BK12,BK10-BJ15)</f>
        <v>132.96925000000192</v>
      </c>
      <c r="BL15" s="177">
        <f>SUM(BL17:BL150)</f>
        <v>7063.367000000002</v>
      </c>
      <c r="BM15" s="219" t="s">
        <v>321</v>
      </c>
      <c r="BN15" s="220"/>
      <c r="BO15" s="220"/>
      <c r="BP15" s="220"/>
      <c r="BQ15" s="220"/>
      <c r="BR15" s="220"/>
      <c r="BS15" s="220"/>
      <c r="BT15" s="220"/>
      <c r="BU15" s="220"/>
      <c r="BV15" s="220"/>
      <c r="BW15" s="220"/>
      <c r="BX15" s="220"/>
      <c r="BY15" s="220"/>
      <c r="BZ15" s="221"/>
      <c r="CA15" s="222" t="s">
        <v>194</v>
      </c>
      <c r="CB15" s="223"/>
      <c r="CC15" s="223"/>
      <c r="CD15" s="223"/>
      <c r="CE15" s="223"/>
      <c r="CF15" s="223"/>
      <c r="CG15" s="223"/>
      <c r="CH15" s="223"/>
      <c r="CI15" s="223"/>
      <c r="CJ15" s="224"/>
      <c r="CK15" s="60"/>
      <c r="CL15" s="52" t="str">
        <f>"End "&amp;CL8</f>
        <v>End Rollover Tier</v>
      </c>
      <c r="CM15" s="52" t="str">
        <f aca="true" t="shared" si="0" ref="CM15:CO15">"End "&amp;CM8</f>
        <v>End NRU Proposal Tier</v>
      </c>
      <c r="CN15" s="52" t="str">
        <f t="shared" si="0"/>
        <v>End BPA Jan24 Tier</v>
      </c>
      <c r="CO15" s="52" t="str">
        <f t="shared" si="0"/>
        <v>End Melded</v>
      </c>
      <c r="CQ15" s="52" t="str">
        <f>"Start "&amp;CL8</f>
        <v>Start Rollover Tier</v>
      </c>
      <c r="CR15" s="52" t="str">
        <f aca="true" t="shared" si="1" ref="CR15:CT15">"Start "&amp;CM8</f>
        <v>Start NRU Proposal Tier</v>
      </c>
      <c r="CS15" s="52" t="str">
        <f t="shared" si="1"/>
        <v>Start BPA Jan24 Tier</v>
      </c>
      <c r="CT15" s="52" t="str">
        <f t="shared" si="1"/>
        <v>Start Melded</v>
      </c>
      <c r="CV15" s="1" t="str">
        <f>CL15</f>
        <v>End Rollover Tier</v>
      </c>
      <c r="CW15" s="37" t="str">
        <f aca="true" t="shared" si="2" ref="CW15:CY15">CM15</f>
        <v>End NRU Proposal Tier</v>
      </c>
      <c r="CX15" s="37" t="str">
        <f t="shared" si="2"/>
        <v>End BPA Jan24 Tier</v>
      </c>
      <c r="CY15" s="37" t="str">
        <f t="shared" si="2"/>
        <v>End Melded</v>
      </c>
    </row>
    <row r="16" spans="1:103" s="1" customFormat="1" ht="48.75" customHeight="1">
      <c r="A16" s="12" t="s">
        <v>11</v>
      </c>
      <c r="B16" s="28" t="s">
        <v>12</v>
      </c>
      <c r="C16" s="28" t="s">
        <v>13</v>
      </c>
      <c r="D16" s="25" t="s">
        <v>14</v>
      </c>
      <c r="E16" s="25" t="s">
        <v>15</v>
      </c>
      <c r="F16" s="28" t="s">
        <v>181</v>
      </c>
      <c r="G16" s="28" t="s">
        <v>182</v>
      </c>
      <c r="H16" s="29" t="s">
        <v>183</v>
      </c>
      <c r="I16" s="32" t="s">
        <v>184</v>
      </c>
      <c r="J16" s="32" t="s">
        <v>185</v>
      </c>
      <c r="K16" s="32" t="s">
        <v>186</v>
      </c>
      <c r="L16" s="32" t="s">
        <v>187</v>
      </c>
      <c r="M16" s="32" t="s">
        <v>188</v>
      </c>
      <c r="N16" s="32" t="s">
        <v>189</v>
      </c>
      <c r="O16" s="61" t="s">
        <v>190</v>
      </c>
      <c r="P16" s="32" t="s">
        <v>202</v>
      </c>
      <c r="Q16" s="32" t="s">
        <v>206</v>
      </c>
      <c r="R16" s="32" t="s">
        <v>203</v>
      </c>
      <c r="S16" s="32" t="s">
        <v>204</v>
      </c>
      <c r="T16" s="80" t="s">
        <v>195</v>
      </c>
      <c r="U16" s="32" t="s">
        <v>196</v>
      </c>
      <c r="V16" s="32" t="s">
        <v>205</v>
      </c>
      <c r="W16" s="32" t="s">
        <v>207</v>
      </c>
      <c r="X16" s="32" t="s">
        <v>208</v>
      </c>
      <c r="Y16" s="32" t="s">
        <v>209</v>
      </c>
      <c r="Z16" s="32" t="s">
        <v>199</v>
      </c>
      <c r="AA16" s="62" t="s">
        <v>200</v>
      </c>
      <c r="AB16" s="32" t="s">
        <v>161</v>
      </c>
      <c r="AC16" s="32" t="s">
        <v>308</v>
      </c>
      <c r="AD16" s="32" t="s">
        <v>302</v>
      </c>
      <c r="AE16" s="61" t="s">
        <v>299</v>
      </c>
      <c r="AF16" s="181" t="s">
        <v>314</v>
      </c>
      <c r="AG16" s="181" t="s">
        <v>306</v>
      </c>
      <c r="AH16" s="181" t="s">
        <v>307</v>
      </c>
      <c r="AI16" s="181" t="s">
        <v>300</v>
      </c>
      <c r="AJ16" s="61" t="s">
        <v>301</v>
      </c>
      <c r="AK16" s="61" t="s">
        <v>305</v>
      </c>
      <c r="AL16" s="61" t="s">
        <v>303</v>
      </c>
      <c r="AM16" s="61" t="s">
        <v>310</v>
      </c>
      <c r="AN16" s="61" t="s">
        <v>311</v>
      </c>
      <c r="AO16" s="32" t="s">
        <v>202</v>
      </c>
      <c r="AP16" s="32" t="s">
        <v>206</v>
      </c>
      <c r="AQ16" s="32" t="s">
        <v>203</v>
      </c>
      <c r="AR16" s="32" t="s">
        <v>204</v>
      </c>
      <c r="AS16" s="80" t="s">
        <v>195</v>
      </c>
      <c r="AT16" s="32" t="s">
        <v>196</v>
      </c>
      <c r="AU16" s="32" t="s">
        <v>205</v>
      </c>
      <c r="AV16" s="32" t="s">
        <v>207</v>
      </c>
      <c r="AW16" s="32" t="s">
        <v>208</v>
      </c>
      <c r="AX16" s="32" t="s">
        <v>209</v>
      </c>
      <c r="AY16" s="32" t="s">
        <v>199</v>
      </c>
      <c r="AZ16" s="32" t="s">
        <v>200</v>
      </c>
      <c r="BA16" s="62" t="s">
        <v>323</v>
      </c>
      <c r="BB16" s="32" t="s">
        <v>161</v>
      </c>
      <c r="BC16" s="32" t="s">
        <v>308</v>
      </c>
      <c r="BD16" s="32" t="s">
        <v>302</v>
      </c>
      <c r="BE16" s="61" t="s">
        <v>299</v>
      </c>
      <c r="BF16" s="181" t="s">
        <v>314</v>
      </c>
      <c r="BG16" s="181" t="s">
        <v>306</v>
      </c>
      <c r="BH16" s="181" t="s">
        <v>307</v>
      </c>
      <c r="BI16" s="61" t="s">
        <v>301</v>
      </c>
      <c r="BJ16" s="61" t="s">
        <v>317</v>
      </c>
      <c r="BK16" s="61" t="s">
        <v>303</v>
      </c>
      <c r="BL16" s="61" t="s">
        <v>310</v>
      </c>
      <c r="BM16" s="61" t="s">
        <v>311</v>
      </c>
      <c r="BN16" s="32" t="s">
        <v>202</v>
      </c>
      <c r="BO16" s="32" t="s">
        <v>206</v>
      </c>
      <c r="BP16" s="32" t="s">
        <v>203</v>
      </c>
      <c r="BQ16" s="32" t="s">
        <v>204</v>
      </c>
      <c r="BR16" s="80" t="s">
        <v>195</v>
      </c>
      <c r="BS16" s="32" t="s">
        <v>196</v>
      </c>
      <c r="BT16" s="32" t="s">
        <v>205</v>
      </c>
      <c r="BU16" s="32" t="s">
        <v>207</v>
      </c>
      <c r="BV16" s="32" t="s">
        <v>208</v>
      </c>
      <c r="BW16" s="32" t="s">
        <v>209</v>
      </c>
      <c r="BX16" s="32" t="s">
        <v>199</v>
      </c>
      <c r="BY16" s="32" t="s">
        <v>200</v>
      </c>
      <c r="BZ16" s="62" t="s">
        <v>323</v>
      </c>
      <c r="CA16" s="61" t="s">
        <v>202</v>
      </c>
      <c r="CB16" s="32" t="s">
        <v>221</v>
      </c>
      <c r="CC16" s="32" t="s">
        <v>195</v>
      </c>
      <c r="CD16" s="32" t="s">
        <v>196</v>
      </c>
      <c r="CE16" s="32" t="s">
        <v>205</v>
      </c>
      <c r="CF16" s="32" t="s">
        <v>325</v>
      </c>
      <c r="CG16" s="32" t="s">
        <v>199</v>
      </c>
      <c r="CH16" s="32" t="s">
        <v>200</v>
      </c>
      <c r="CI16" s="32" t="s">
        <v>323</v>
      </c>
      <c r="CJ16" s="62" t="s">
        <v>324</v>
      </c>
      <c r="CL16" s="79">
        <f aca="true" t="shared" si="3" ref="CL16:CN16">SUM(CL17:CL150)</f>
        <v>2814866831.7970223</v>
      </c>
      <c r="CM16" s="79">
        <f ca="1" t="shared" si="3"/>
        <v>2814866831.7970233</v>
      </c>
      <c r="CN16" s="79">
        <f ca="1" t="shared" si="3"/>
        <v>2814866831.797023</v>
      </c>
      <c r="CO16" s="79">
        <f ca="1">SUM(CO17:CO150)</f>
        <v>2814866831.797024</v>
      </c>
      <c r="CQ16" s="79">
        <f aca="true" t="shared" si="4" ref="CQ16:CS16">SUM(CQ17:CQ150)</f>
        <v>2249621704.681601</v>
      </c>
      <c r="CR16" s="79">
        <f t="shared" si="4"/>
        <v>2249621704.681601</v>
      </c>
      <c r="CS16" s="79">
        <f t="shared" si="4"/>
        <v>2249621704.681599</v>
      </c>
      <c r="CT16" s="79">
        <f>SUM(CT17:CT150)</f>
        <v>2249621704.681599</v>
      </c>
      <c r="CV16" s="79">
        <f aca="true" t="shared" si="5" ref="CV16:CY16">SUM(CV17:CV150)</f>
        <v>2814866831.7970223</v>
      </c>
      <c r="CW16" s="79">
        <f ca="1" t="shared" si="5"/>
        <v>2814866831.7970233</v>
      </c>
      <c r="CX16" s="79">
        <f ca="1" t="shared" si="5"/>
        <v>2814866831.7970233</v>
      </c>
      <c r="CY16" s="79">
        <f ca="1" t="shared" si="5"/>
        <v>2814866831.7970233</v>
      </c>
    </row>
    <row r="17" spans="2:103" ht="12.75">
      <c r="B17" s="14">
        <v>10005</v>
      </c>
      <c r="C17" s="15" t="s">
        <v>16</v>
      </c>
      <c r="D17" s="16">
        <f>RHWM!D4</f>
        <v>1</v>
      </c>
      <c r="E17" s="16">
        <f>RHWM!E4</f>
        <v>0</v>
      </c>
      <c r="F17" s="18">
        <f>RHWM!M4</f>
        <v>0.68</v>
      </c>
      <c r="G17" s="18">
        <f>RHWM!N4</f>
        <v>0.689</v>
      </c>
      <c r="H17" s="18">
        <f>RHWM!O4</f>
        <v>0.548</v>
      </c>
      <c r="I17" s="18">
        <v>0.132</v>
      </c>
      <c r="J17" s="18">
        <v>0.141</v>
      </c>
      <c r="K17" s="18">
        <v>0.132</v>
      </c>
      <c r="L17" s="18">
        <v>0.141</v>
      </c>
      <c r="M17" s="18">
        <v>0</v>
      </c>
      <c r="N17" s="18">
        <v>0</v>
      </c>
      <c r="O17" s="81">
        <f>H17</f>
        <v>0.548</v>
      </c>
      <c r="P17" s="63">
        <f>G17</f>
        <v>0.689</v>
      </c>
      <c r="Q17" s="63">
        <f>MIN(P17,O17)</f>
        <v>0.548</v>
      </c>
      <c r="R17" s="63">
        <f>MAX(0,P17-O17)</f>
        <v>0.1409999999999999</v>
      </c>
      <c r="S17" s="63">
        <f>MAX(0,O17-P17)</f>
        <v>0</v>
      </c>
      <c r="T17" s="67">
        <f aca="true" t="shared" si="6" ref="T17:T48">(Q17*$T$14+R17*$T$5)/(Q17+R17)</f>
        <v>39.91873326881349</v>
      </c>
      <c r="U17" s="138">
        <f aca="true" t="shared" si="7" ref="U17:U48">RANDBETWEEN($Z$2,$Z$3)/100</f>
        <v>1.25</v>
      </c>
      <c r="V17" s="66">
        <f aca="true" t="shared" si="8" ref="V17:V48">G17*U17</f>
        <v>0.86125</v>
      </c>
      <c r="W17" s="66">
        <f ca="1">MIN(V17,O17)</f>
        <v>0.548</v>
      </c>
      <c r="X17" s="66">
        <f ca="1">MAX(0,V17-O17)</f>
        <v>0.3132499999999999</v>
      </c>
      <c r="Y17" s="63">
        <f ca="1">MAX(0,O17-V17)</f>
        <v>0</v>
      </c>
      <c r="Z17" s="67">
        <f aca="true" t="shared" si="9" ref="Z17:Z48">(W17*$Z$14+X17*$T$5)/(W17+X17)</f>
        <v>45.169789027985544</v>
      </c>
      <c r="AA17" s="68">
        <f aca="true" t="shared" si="10" ref="AA17:AA48">Z17/T17-1</f>
        <v>0.13154364703437227</v>
      </c>
      <c r="AB17" s="169">
        <f>MIN(O17,Q17)</f>
        <v>0.548</v>
      </c>
      <c r="AC17" s="169">
        <f>IF(AB17&lt;5,MIN($AC$15,AB17*$AC$14),AB17)</f>
        <v>1.096</v>
      </c>
      <c r="AD17" s="169">
        <v>0</v>
      </c>
      <c r="AE17" s="171">
        <f>AD17*$AE$15</f>
        <v>0</v>
      </c>
      <c r="AF17" s="182">
        <v>0</v>
      </c>
      <c r="AG17" s="182">
        <f>IF($AE$12="No",0,AF17)</f>
        <v>0</v>
      </c>
      <c r="AH17" s="182">
        <f>AG17*$AH$15</f>
        <v>0</v>
      </c>
      <c r="AI17" s="182">
        <v>0</v>
      </c>
      <c r="AJ17" s="171">
        <f>R17*$AJ$15</f>
        <v>0.07049999999999995</v>
      </c>
      <c r="AK17" s="171">
        <f>AC17+AE17+AJ17</f>
        <v>1.1665</v>
      </c>
      <c r="AL17" s="171">
        <f>AK17/$AK$15*$AL$15</f>
        <v>0.07444371721844804</v>
      </c>
      <c r="AM17" s="171">
        <f>AK17+AL17</f>
        <v>1.240943717218448</v>
      </c>
      <c r="AN17" s="81">
        <f>AM17</f>
        <v>1.240943717218448</v>
      </c>
      <c r="AO17" s="63">
        <f>P17</f>
        <v>0.689</v>
      </c>
      <c r="AP17" s="63">
        <f>MIN(AO17,AN17)</f>
        <v>0.689</v>
      </c>
      <c r="AQ17" s="63">
        <f>MAX(0,AO17-AN17)</f>
        <v>0</v>
      </c>
      <c r="AR17" s="63">
        <f>MAX(0,AN17-AO17)</f>
        <v>0.5519437172184481</v>
      </c>
      <c r="AS17" s="67">
        <f aca="true" t="shared" si="11" ref="AS17:AS48">(AP17*$AS$14+AQ17*$T$5)/(AP17+AQ17)</f>
        <v>35.5763854636149</v>
      </c>
      <c r="AT17" s="65">
        <f aca="true" t="shared" si="12" ref="AT17:AT48">U17</f>
        <v>1.25</v>
      </c>
      <c r="AU17" s="66">
        <f ca="1">AT17*AO17</f>
        <v>0.86125</v>
      </c>
      <c r="AV17" s="66">
        <f ca="1">MIN(AU17,AN17)</f>
        <v>0.86125</v>
      </c>
      <c r="AW17" s="66">
        <f ca="1">MAX(0,AU17-AN17)</f>
        <v>0</v>
      </c>
      <c r="AX17" s="63">
        <f ca="1">MAX(0,AN17-AU17)</f>
        <v>0.37969371721844813</v>
      </c>
      <c r="AY17" s="67">
        <f aca="true" t="shared" si="13" ref="AY17:AY48">(AV17*$AY$14+AW17*$T$5)/(AV17+AW17)</f>
        <v>36.38031310262951</v>
      </c>
      <c r="AZ17" s="65">
        <f ca="1">AY17/AS17-1</f>
        <v>0.0225972264618286</v>
      </c>
      <c r="BA17" s="68">
        <f aca="true" t="shared" si="14" ref="BA17:BA48">AY17/Z17-1</f>
        <v>-0.1945874912081258</v>
      </c>
      <c r="BB17" s="169">
        <f>MIN(O17,Q17)</f>
        <v>0.548</v>
      </c>
      <c r="BC17" s="169">
        <f>IF(BB17&lt;$BC$15,MIN($BC$15,BB17*$BC$14),BB17)</f>
        <v>1.096</v>
      </c>
      <c r="BD17" s="169">
        <v>0</v>
      </c>
      <c r="BE17" s="171">
        <f>BD17*$BE$15</f>
        <v>0</v>
      </c>
      <c r="BF17" s="182">
        <v>0</v>
      </c>
      <c r="BG17" s="182">
        <f>IF($AE$12="No",0,BF17)</f>
        <v>0</v>
      </c>
      <c r="BH17" s="182">
        <f>BG17*$BH$15</f>
        <v>0</v>
      </c>
      <c r="BI17" s="169">
        <f>$BI$15*R17</f>
        <v>0.035249999999999976</v>
      </c>
      <c r="BJ17" s="171">
        <f>BC17+BE17+BI17</f>
        <v>1.13125</v>
      </c>
      <c r="BK17" s="171">
        <f>BJ17/$BJ$15*$BK$15</f>
        <v>0.02170459322663006</v>
      </c>
      <c r="BL17" s="171">
        <f>BJ17+BK17</f>
        <v>1.15295459322663</v>
      </c>
      <c r="BM17" s="81">
        <f>BL17</f>
        <v>1.15295459322663</v>
      </c>
      <c r="BN17" s="63">
        <f aca="true" t="shared" si="15" ref="BN17:BN48">P17</f>
        <v>0.689</v>
      </c>
      <c r="BO17" s="63">
        <f>MIN(BN17,BM17)</f>
        <v>0.689</v>
      </c>
      <c r="BP17" s="63">
        <f>MAX(0,BN17-BM17)</f>
        <v>0</v>
      </c>
      <c r="BQ17" s="63">
        <f>MAX(0,BM17-BN17)</f>
        <v>0.46395459322663013</v>
      </c>
      <c r="BR17" s="67">
        <f>(BO17*$BR$14+BP17*$T$5)/(BO17+BP17)</f>
        <v>34.790963136607154</v>
      </c>
      <c r="BS17" s="69">
        <f aca="true" t="shared" si="16" ref="BS17:BS48">U17</f>
        <v>1.25</v>
      </c>
      <c r="BT17" s="66">
        <f ca="1">BN17*BS17</f>
        <v>0.86125</v>
      </c>
      <c r="BU17" s="66">
        <f ca="1">MIN(BT17,BM17)</f>
        <v>0.86125</v>
      </c>
      <c r="BV17" s="66">
        <f ca="1">MAX(0,BT17-BM17)</f>
        <v>0</v>
      </c>
      <c r="BW17" s="63">
        <f ca="1">MAX(0,BM17-BT17)</f>
        <v>0.2917045932266301</v>
      </c>
      <c r="BX17" s="67">
        <f aca="true" t="shared" si="17" ref="BX17:BX48">(BU17*$BX$14+BV17*$T$5)/(BU17+BV17)</f>
        <v>35.05800570624853</v>
      </c>
      <c r="BY17" s="65">
        <f ca="1">BX17/BR17-1</f>
        <v>0.007675630266193778</v>
      </c>
      <c r="BZ17" s="68">
        <f aca="true" t="shared" si="18" ref="BZ17:BZ48">BX17/Z17-1</f>
        <v>-0.22386164601017122</v>
      </c>
      <c r="CA17" s="81">
        <f>P17</f>
        <v>0.689</v>
      </c>
      <c r="CB17" s="63">
        <f>CA17</f>
        <v>0.689</v>
      </c>
      <c r="CC17" s="67">
        <f>$CC$14</f>
        <v>35.90132553133049</v>
      </c>
      <c r="CD17" s="69">
        <f aca="true" t="shared" si="19" ref="CD17:CD48">U17</f>
        <v>1.25</v>
      </c>
      <c r="CE17" s="190">
        <f ca="1">CA17*CD17</f>
        <v>0.86125</v>
      </c>
      <c r="CF17" s="70">
        <f ca="1">CE17</f>
        <v>0.86125</v>
      </c>
      <c r="CG17" s="67">
        <f ca="1">$CG$14</f>
        <v>39.30481757441425</v>
      </c>
      <c r="CH17" s="65">
        <f ca="1">CG17/CC17-1</f>
        <v>0.09480129194989151</v>
      </c>
      <c r="CI17" s="65">
        <f aca="true" t="shared" si="20" ref="CI17:CI48">CG17/Z17-1</f>
        <v>-0.12984279049737368</v>
      </c>
      <c r="CJ17" s="68">
        <f ca="1">CG17/BX17-1</f>
        <v>0.12113672134546993</v>
      </c>
      <c r="CL17" s="97">
        <f aca="true" t="shared" si="21" ref="CL17:CL48">W17*$Z$14*8760+X17*$T$5*8760</f>
        <v>340785.73181108834</v>
      </c>
      <c r="CM17" s="97">
        <f aca="true" t="shared" si="22" ref="CM17:CM48">AV17*$AY$14*8760+AW17*$T$5*8760</f>
        <v>274473.0912184435</v>
      </c>
      <c r="CN17" s="97">
        <f aca="true" t="shared" si="23" ref="CN17:CN48">BU17*$BX$14*8760+BV17*$T$5*8760</f>
        <v>264496.8769510773</v>
      </c>
      <c r="CO17" s="97">
        <f ca="1">CG17*CF17*8760</f>
        <v>296537.161431047</v>
      </c>
      <c r="CQ17" s="97">
        <f aca="true" t="shared" si="24" ref="CQ17:CQ48">Q17*8760*$T$14+R17*8760*$T$5</f>
        <v>240935.1032665815</v>
      </c>
      <c r="CR17" s="97">
        <f aca="true" t="shared" si="25" ref="CR17:CR48">AP17*8760*$AS$14+AQ17*8760*$T$5</f>
        <v>214726.2551596126</v>
      </c>
      <c r="CS17" s="97">
        <f aca="true" t="shared" si="26" ref="CS17:CS48">BO17*8760*$BR$14+BP17*8760*$T$5</f>
        <v>209985.72874583158</v>
      </c>
      <c r="CT17" s="97">
        <f>CB17*8760*$CC$14</f>
        <v>216687.47642991957</v>
      </c>
      <c r="CV17" s="97">
        <f aca="true" t="shared" si="27" ref="CV17:CV48">Z17*8760*V17</f>
        <v>340785.73181108834</v>
      </c>
      <c r="CW17" s="97">
        <f ca="1">AY17*8760*AU17</f>
        <v>274473.0912184434</v>
      </c>
      <c r="CX17" s="97">
        <f ca="1">AY17*8760*AU17</f>
        <v>274473.0912184434</v>
      </c>
      <c r="CY17" s="97">
        <f ca="1">CG17*8760*CE17</f>
        <v>296537.161431047</v>
      </c>
    </row>
    <row r="18" spans="2:103" ht="12.75">
      <c r="B18" s="14">
        <v>10015</v>
      </c>
      <c r="C18" s="15" t="s">
        <v>17</v>
      </c>
      <c r="D18" s="16">
        <f>RHWM!D5</f>
        <v>1</v>
      </c>
      <c r="E18" s="16">
        <f>RHWM!E5</f>
        <v>0</v>
      </c>
      <c r="F18" s="18">
        <f>RHWM!M5</f>
        <v>0.582</v>
      </c>
      <c r="G18" s="18">
        <f>RHWM!N5</f>
        <v>0.583</v>
      </c>
      <c r="H18" s="18">
        <f>RHWM!O5</f>
        <v>0.573</v>
      </c>
      <c r="I18" s="18">
        <v>0.009</v>
      </c>
      <c r="J18" s="18">
        <v>0.01</v>
      </c>
      <c r="K18" s="18">
        <v>0.009</v>
      </c>
      <c r="L18" s="18">
        <v>0.01</v>
      </c>
      <c r="M18" s="18">
        <v>0</v>
      </c>
      <c r="N18" s="18">
        <v>0</v>
      </c>
      <c r="O18" s="81">
        <f aca="true" t="shared" si="28" ref="O18:O81">H18</f>
        <v>0.573</v>
      </c>
      <c r="P18" s="63">
        <f aca="true" t="shared" si="29" ref="P18:P81">G18</f>
        <v>0.583</v>
      </c>
      <c r="Q18" s="63">
        <f aca="true" t="shared" si="30" ref="Q18:Q81">MIN(P18,O18)</f>
        <v>0.573</v>
      </c>
      <c r="R18" s="63">
        <f aca="true" t="shared" si="31" ref="R18:R81">MAX(0,P18-O18)</f>
        <v>0.010000000000000009</v>
      </c>
      <c r="S18" s="63">
        <f aca="true" t="shared" si="32" ref="S18:S81">MAX(0,O18-P18)</f>
        <v>0</v>
      </c>
      <c r="T18" s="67">
        <f t="shared" si="6"/>
        <v>34.44942337747043</v>
      </c>
      <c r="U18" s="138">
        <f ca="1" t="shared" si="7"/>
        <v>1.33</v>
      </c>
      <c r="V18" s="66">
        <f ca="1" t="shared" si="8"/>
        <v>0.77539</v>
      </c>
      <c r="W18" s="66">
        <f aca="true" t="shared" si="33" ref="W18:W81">MIN(V18,O18)</f>
        <v>0.573</v>
      </c>
      <c r="X18" s="66">
        <f aca="true" t="shared" si="34" ref="X18:X81">MAX(0,V18-O18)</f>
        <v>0.20239000000000007</v>
      </c>
      <c r="Y18" s="63">
        <f aca="true" t="shared" si="35" ref="Y18:Y81">MAX(0,O18-V18)</f>
        <v>0</v>
      </c>
      <c r="Z18" s="67">
        <f ca="1" t="shared" si="9"/>
        <v>42.27256348654032</v>
      </c>
      <c r="AA18" s="68">
        <f ca="1" t="shared" si="10"/>
        <v>0.22709059665091935</v>
      </c>
      <c r="AB18" s="169">
        <f aca="true" t="shared" si="36" ref="AB18:AB81">MIN(O18,Q18)</f>
        <v>0.573</v>
      </c>
      <c r="AC18" s="169">
        <f aca="true" t="shared" si="37" ref="AC18:AC81">IF(AB18&lt;5,MIN($AC$15,AB18*$AC$14),AB18)</f>
        <v>1.146</v>
      </c>
      <c r="AD18" s="169">
        <v>0</v>
      </c>
      <c r="AE18" s="171">
        <f aca="true" t="shared" si="38" ref="AE18:AE81">AD18*$AE$15</f>
        <v>0</v>
      </c>
      <c r="AF18" s="182">
        <v>0</v>
      </c>
      <c r="AG18" s="182">
        <f aca="true" t="shared" si="39" ref="AG18:AG81">IF($AE$12="No",0,AF18)</f>
        <v>0</v>
      </c>
      <c r="AH18" s="182">
        <f aca="true" t="shared" si="40" ref="AH18:AH81">AG18*$AH$15</f>
        <v>0</v>
      </c>
      <c r="AI18" s="182">
        <v>0</v>
      </c>
      <c r="AJ18" s="171">
        <f aca="true" t="shared" si="41" ref="AJ18:AJ81">R18*$AJ$15</f>
        <v>0.0050000000000000044</v>
      </c>
      <c r="AK18" s="171">
        <f aca="true" t="shared" si="42" ref="AK18:AK81">AC18+AE18+AJ18</f>
        <v>1.1509999999999998</v>
      </c>
      <c r="AL18" s="171">
        <f aca="true" t="shared" si="43" ref="AL18:AL81">AK18/$AK$15*$AL$15</f>
        <v>0.07345453794979313</v>
      </c>
      <c r="AM18" s="171">
        <f aca="true" t="shared" si="44" ref="AM18:AM81">AK18+AL18</f>
        <v>1.2244545379497929</v>
      </c>
      <c r="AN18" s="81">
        <f aca="true" t="shared" si="45" ref="AN18:AN81">AM18</f>
        <v>1.2244545379497929</v>
      </c>
      <c r="AO18" s="63">
        <f aca="true" t="shared" si="46" ref="AO18:AO81">P18</f>
        <v>0.583</v>
      </c>
      <c r="AP18" s="63">
        <f aca="true" t="shared" si="47" ref="AP18:AP81">MIN(AO18,AN18)</f>
        <v>0.583</v>
      </c>
      <c r="AQ18" s="63">
        <f aca="true" t="shared" si="48" ref="AQ18:AQ81">MAX(0,AO18-AN18)</f>
        <v>0</v>
      </c>
      <c r="AR18" s="63">
        <f aca="true" t="shared" si="49" ref="AR18:AR81">MAX(0,AN18-AO18)</f>
        <v>0.6414545379497929</v>
      </c>
      <c r="AS18" s="67">
        <f t="shared" si="11"/>
        <v>35.5763854636149</v>
      </c>
      <c r="AT18" s="65">
        <f ca="1" t="shared" si="12"/>
        <v>1.33</v>
      </c>
      <c r="AU18" s="66">
        <f aca="true" t="shared" si="50" ref="AU18:AU81">AT18*AO18</f>
        <v>0.77539</v>
      </c>
      <c r="AV18" s="66">
        <f aca="true" t="shared" si="51" ref="AV18:AV81">MIN(AU18,AN18)</f>
        <v>0.77539</v>
      </c>
      <c r="AW18" s="66">
        <f aca="true" t="shared" si="52" ref="AW18:AW81">MAX(0,AU18-AN18)</f>
        <v>0</v>
      </c>
      <c r="AX18" s="63">
        <f aca="true" t="shared" si="53" ref="AX18:AX81">MAX(0,AN18-AU18)</f>
        <v>0.44906453794979284</v>
      </c>
      <c r="AY18" s="67">
        <f ca="1" t="shared" si="13"/>
        <v>36.38031310262951</v>
      </c>
      <c r="AZ18" s="65">
        <f aca="true" t="shared" si="54" ref="AZ18:AZ81">AY18/AS18-1</f>
        <v>0.0225972264618286</v>
      </c>
      <c r="BA18" s="68">
        <f ca="1" t="shared" si="14"/>
        <v>-0.1393871082785627</v>
      </c>
      <c r="BB18" s="169">
        <f aca="true" t="shared" si="55" ref="BB18:BB81">MIN(O18,Q18)</f>
        <v>0.573</v>
      </c>
      <c r="BC18" s="169">
        <f aca="true" t="shared" si="56" ref="BC18:BC81">IF(BB18&lt;$BC$15,MIN($BC$15,BB18*$BC$14),BB18)</f>
        <v>1.146</v>
      </c>
      <c r="BD18" s="169">
        <v>0</v>
      </c>
      <c r="BE18" s="171">
        <f aca="true" t="shared" si="57" ref="BE18:BE81">BD18*$BE$15</f>
        <v>0</v>
      </c>
      <c r="BF18" s="182">
        <v>0</v>
      </c>
      <c r="BG18" s="182">
        <f aca="true" t="shared" si="58" ref="BG18:BG81">IF($AE$12="No",0,BF18)</f>
        <v>0</v>
      </c>
      <c r="BH18" s="182">
        <f aca="true" t="shared" si="59" ref="BH18:BH81">BG18*$BH$15</f>
        <v>0</v>
      </c>
      <c r="BI18" s="169">
        <f aca="true" t="shared" si="60" ref="BI18:BI81">$BI$15*R18</f>
        <v>0.0025000000000000022</v>
      </c>
      <c r="BJ18" s="171">
        <f aca="true" t="shared" si="61" ref="BJ18:BJ81">BC18+BE18+BI18</f>
        <v>1.1484999999999999</v>
      </c>
      <c r="BK18" s="171">
        <f aca="true" t="shared" si="62" ref="BK18:BK81">BJ18/$BJ$15*$BK$15</f>
        <v>0.022035558294616238</v>
      </c>
      <c r="BL18" s="171">
        <f aca="true" t="shared" si="63" ref="BL18:BL81">BJ18+BK18</f>
        <v>1.1705355582946162</v>
      </c>
      <c r="BM18" s="81">
        <f aca="true" t="shared" si="64" ref="BM18:BM81">BL18</f>
        <v>1.1705355582946162</v>
      </c>
      <c r="BN18" s="63">
        <f t="shared" si="15"/>
        <v>0.583</v>
      </c>
      <c r="BO18" s="63">
        <f aca="true" t="shared" si="65" ref="BO18:BO81">MIN(BN18,BM18)</f>
        <v>0.583</v>
      </c>
      <c r="BP18" s="63">
        <f aca="true" t="shared" si="66" ref="BP18:BP81">MAX(0,BN18-BM18)</f>
        <v>0</v>
      </c>
      <c r="BQ18" s="63">
        <f aca="true" t="shared" si="67" ref="BQ18:BQ81">MAX(0,BM18-BN18)</f>
        <v>0.5875355582946162</v>
      </c>
      <c r="BR18" s="67">
        <f aca="true" t="shared" si="68" ref="BR18:BR81">(BO18*$BR$14+BP18*$T$5)/(BO18+BP18)</f>
        <v>34.790963136607154</v>
      </c>
      <c r="BS18" s="69">
        <f ca="1" t="shared" si="16"/>
        <v>1.33</v>
      </c>
      <c r="BT18" s="66">
        <f aca="true" t="shared" si="69" ref="BT18:BT81">BN18*BS18</f>
        <v>0.77539</v>
      </c>
      <c r="BU18" s="66">
        <f aca="true" t="shared" si="70" ref="BU18:BU81">MIN(BT18,BM18)</f>
        <v>0.77539</v>
      </c>
      <c r="BV18" s="66">
        <f aca="true" t="shared" si="71" ref="BV18:BV81">MAX(0,BT18-BM18)</f>
        <v>0</v>
      </c>
      <c r="BW18" s="63">
        <f aca="true" t="shared" si="72" ref="BW18:BW81">MAX(0,BM18-BT18)</f>
        <v>0.3951455582946162</v>
      </c>
      <c r="BX18" s="67">
        <f ca="1" t="shared" si="17"/>
        <v>35.05800570624853</v>
      </c>
      <c r="BY18" s="65">
        <f aca="true" t="shared" si="73" ref="BY18:BY81">BX18/BR18-1</f>
        <v>0.007675630266193778</v>
      </c>
      <c r="BZ18" s="68">
        <f ca="1" t="shared" si="18"/>
        <v>-0.1706676194971929</v>
      </c>
      <c r="CA18" s="81">
        <f aca="true" t="shared" si="74" ref="CA18:CA81">P18</f>
        <v>0.583</v>
      </c>
      <c r="CB18" s="63">
        <f aca="true" t="shared" si="75" ref="CB18:CB81">CA18</f>
        <v>0.583</v>
      </c>
      <c r="CC18" s="67">
        <f aca="true" t="shared" si="76" ref="CC18:CC81">$CC$14</f>
        <v>35.90132553133049</v>
      </c>
      <c r="CD18" s="69">
        <f ca="1" t="shared" si="19"/>
        <v>1.33</v>
      </c>
      <c r="CE18" s="190">
        <f aca="true" t="shared" si="77" ref="CE18:CE81">CA18*CD18</f>
        <v>0.77539</v>
      </c>
      <c r="CF18" s="70">
        <f aca="true" t="shared" si="78" ref="CF18:CF81">CE18</f>
        <v>0.77539</v>
      </c>
      <c r="CG18" s="67">
        <f aca="true" t="shared" si="79" ref="CG18:CG81">$CG$14</f>
        <v>39.30481757441425</v>
      </c>
      <c r="CH18" s="65">
        <f aca="true" t="shared" si="80" ref="CH18:CH81">CG18/CC18-1</f>
        <v>0.09480129194989151</v>
      </c>
      <c r="CI18" s="65">
        <f ca="1" t="shared" si="20"/>
        <v>-0.07020501401744905</v>
      </c>
      <c r="CJ18" s="68">
        <f aca="true" t="shared" si="81" ref="CJ18:CJ81">CG18/BX18-1</f>
        <v>0.12113672134546993</v>
      </c>
      <c r="CL18" s="97">
        <f ca="1" t="shared" si="21"/>
        <v>287132.85349601763</v>
      </c>
      <c r="CM18" s="97">
        <f ca="1" t="shared" si="22"/>
        <v>247110.23535543555</v>
      </c>
      <c r="CN18" s="97">
        <f ca="1" t="shared" si="23"/>
        <v>238128.57291041611</v>
      </c>
      <c r="CO18" s="97">
        <f aca="true" t="shared" si="82" ref="CO18:CO81">CG18*CF18*8760</f>
        <v>266974.6874914596</v>
      </c>
      <c r="CQ18" s="97">
        <f t="shared" si="24"/>
        <v>175935.9611426117</v>
      </c>
      <c r="CR18" s="97">
        <f t="shared" si="25"/>
        <v>181691.44667351837</v>
      </c>
      <c r="CS18" s="97">
        <f t="shared" si="26"/>
        <v>177680.23201570366</v>
      </c>
      <c r="CT18" s="97">
        <f aca="true" t="shared" si="83" ref="CT18:CT81">CB18*8760*$CC$14</f>
        <v>183350.94159454733</v>
      </c>
      <c r="CV18" s="97">
        <f ca="1" t="shared" si="27"/>
        <v>287132.85349601763</v>
      </c>
      <c r="CW18" s="97">
        <f aca="true" t="shared" si="84" ref="CW18:CW81">AY18*8760*AU18</f>
        <v>247110.23535543555</v>
      </c>
      <c r="CX18" s="97">
        <f aca="true" t="shared" si="85" ref="CX18:CX81">AY18*8760*AU18</f>
        <v>247110.23535543555</v>
      </c>
      <c r="CY18" s="97">
        <f aca="true" t="shared" si="86" ref="CY18:CY81">CG18*8760*CE18</f>
        <v>266974.6874914596</v>
      </c>
    </row>
    <row r="19" spans="2:103" ht="12.75">
      <c r="B19" s="14">
        <v>10024</v>
      </c>
      <c r="C19" s="15" t="s">
        <v>18</v>
      </c>
      <c r="D19" s="16">
        <f>RHWM!D6</f>
        <v>1</v>
      </c>
      <c r="E19" s="16">
        <f>RHWM!E6</f>
        <v>0</v>
      </c>
      <c r="F19" s="18">
        <f>RHWM!M6</f>
        <v>211.167</v>
      </c>
      <c r="G19" s="18">
        <f>RHWM!N6</f>
        <v>212.387</v>
      </c>
      <c r="H19" s="18">
        <f>RHWM!O6</f>
        <v>200.923</v>
      </c>
      <c r="I19" s="18">
        <v>10.244</v>
      </c>
      <c r="J19" s="18">
        <v>11.464</v>
      </c>
      <c r="K19" s="18">
        <v>0</v>
      </c>
      <c r="L19" s="18">
        <v>0</v>
      </c>
      <c r="M19" s="18">
        <v>10.244</v>
      </c>
      <c r="N19" s="18">
        <v>11.464</v>
      </c>
      <c r="O19" s="81">
        <f t="shared" si="28"/>
        <v>200.923</v>
      </c>
      <c r="P19" s="63">
        <f t="shared" si="29"/>
        <v>212.387</v>
      </c>
      <c r="Q19" s="63">
        <f t="shared" si="30"/>
        <v>200.923</v>
      </c>
      <c r="R19" s="63">
        <f t="shared" si="31"/>
        <v>11.463999999999999</v>
      </c>
      <c r="S19" s="63">
        <f t="shared" si="32"/>
        <v>0</v>
      </c>
      <c r="T19" s="67">
        <f t="shared" si="6"/>
        <v>35.52362207266493</v>
      </c>
      <c r="U19" s="138">
        <f ca="1" t="shared" si="7"/>
        <v>1.15</v>
      </c>
      <c r="V19" s="66">
        <f ca="1" t="shared" si="8"/>
        <v>244.24505</v>
      </c>
      <c r="W19" s="66">
        <f ca="1" t="shared" si="33"/>
        <v>200.923</v>
      </c>
      <c r="X19" s="66">
        <f ca="1" t="shared" si="34"/>
        <v>43.32204999999999</v>
      </c>
      <c r="Y19" s="63">
        <f ca="1" t="shared" si="35"/>
        <v>0</v>
      </c>
      <c r="Z19" s="67">
        <f ca="1" t="shared" si="9"/>
        <v>39.9128335646106</v>
      </c>
      <c r="AA19" s="68">
        <f ca="1" t="shared" si="10"/>
        <v>0.12355754384976203</v>
      </c>
      <c r="AB19" s="169">
        <f t="shared" si="36"/>
        <v>200.923</v>
      </c>
      <c r="AC19" s="169">
        <f t="shared" si="37"/>
        <v>200.923</v>
      </c>
      <c r="AD19" s="169">
        <v>3.0195000000000003</v>
      </c>
      <c r="AE19" s="171">
        <f t="shared" si="38"/>
        <v>1.5097500000000001</v>
      </c>
      <c r="AF19" s="182">
        <v>0</v>
      </c>
      <c r="AG19" s="182">
        <f t="shared" si="39"/>
        <v>0</v>
      </c>
      <c r="AH19" s="182">
        <f t="shared" si="40"/>
        <v>0</v>
      </c>
      <c r="AI19" s="182">
        <v>0</v>
      </c>
      <c r="AJ19" s="171">
        <f t="shared" si="41"/>
        <v>5.731999999999999</v>
      </c>
      <c r="AK19" s="171">
        <f t="shared" si="42"/>
        <v>208.16475</v>
      </c>
      <c r="AL19" s="171">
        <f t="shared" si="43"/>
        <v>13.284661623531017</v>
      </c>
      <c r="AM19" s="171">
        <f t="shared" si="44"/>
        <v>221.449411623531</v>
      </c>
      <c r="AN19" s="81">
        <f t="shared" si="45"/>
        <v>221.449411623531</v>
      </c>
      <c r="AO19" s="63">
        <f t="shared" si="46"/>
        <v>212.387</v>
      </c>
      <c r="AP19" s="63">
        <f t="shared" si="47"/>
        <v>212.387</v>
      </c>
      <c r="AQ19" s="63">
        <f t="shared" si="48"/>
        <v>0</v>
      </c>
      <c r="AR19" s="63">
        <f t="shared" si="49"/>
        <v>9.062411623531005</v>
      </c>
      <c r="AS19" s="67">
        <f t="shared" si="11"/>
        <v>35.5763854636149</v>
      </c>
      <c r="AT19" s="65">
        <f ca="1" t="shared" si="12"/>
        <v>1.15</v>
      </c>
      <c r="AU19" s="66">
        <f ca="1" t="shared" si="50"/>
        <v>244.24505</v>
      </c>
      <c r="AV19" s="66">
        <f ca="1" t="shared" si="51"/>
        <v>221.449411623531</v>
      </c>
      <c r="AW19" s="66">
        <f ca="1" t="shared" si="52"/>
        <v>22.795638376468986</v>
      </c>
      <c r="AX19" s="63">
        <f ca="1" t="shared" si="53"/>
        <v>0</v>
      </c>
      <c r="AY19" s="67">
        <f ca="1" t="shared" si="13"/>
        <v>38.87595521620546</v>
      </c>
      <c r="AZ19" s="65">
        <f ca="1" t="shared" si="54"/>
        <v>0.09274606482901815</v>
      </c>
      <c r="BA19" s="68">
        <f ca="1" t="shared" si="14"/>
        <v>-0.025978570194136852</v>
      </c>
      <c r="BB19" s="169">
        <f t="shared" si="55"/>
        <v>200.923</v>
      </c>
      <c r="BC19" s="169">
        <f t="shared" si="56"/>
        <v>200.923</v>
      </c>
      <c r="BD19" s="169">
        <v>3.0195000000000003</v>
      </c>
      <c r="BE19" s="171">
        <f t="shared" si="57"/>
        <v>1.5097500000000001</v>
      </c>
      <c r="BF19" s="182">
        <v>0</v>
      </c>
      <c r="BG19" s="182">
        <f t="shared" si="58"/>
        <v>0</v>
      </c>
      <c r="BH19" s="182">
        <f t="shared" si="59"/>
        <v>0</v>
      </c>
      <c r="BI19" s="169">
        <f t="shared" si="60"/>
        <v>2.8659999999999997</v>
      </c>
      <c r="BJ19" s="171">
        <f t="shared" si="61"/>
        <v>205.29874999999998</v>
      </c>
      <c r="BK19" s="171">
        <f t="shared" si="62"/>
        <v>3.9389399855784464</v>
      </c>
      <c r="BL19" s="171">
        <f t="shared" si="63"/>
        <v>209.23768998557844</v>
      </c>
      <c r="BM19" s="81">
        <f t="shared" si="64"/>
        <v>209.23768998557844</v>
      </c>
      <c r="BN19" s="63">
        <f t="shared" si="15"/>
        <v>212.387</v>
      </c>
      <c r="BO19" s="63">
        <f t="shared" si="65"/>
        <v>209.23768998557844</v>
      </c>
      <c r="BP19" s="63">
        <f t="shared" si="66"/>
        <v>3.149310014421559</v>
      </c>
      <c r="BQ19" s="63">
        <f t="shared" si="67"/>
        <v>0</v>
      </c>
      <c r="BR19" s="67">
        <f t="shared" si="68"/>
        <v>35.211030840811276</v>
      </c>
      <c r="BS19" s="69">
        <f ca="1" t="shared" si="16"/>
        <v>1.15</v>
      </c>
      <c r="BT19" s="66">
        <f ca="1" t="shared" si="69"/>
        <v>244.24505</v>
      </c>
      <c r="BU19" s="66">
        <f ca="1" t="shared" si="70"/>
        <v>209.23768998557844</v>
      </c>
      <c r="BV19" s="66">
        <f ca="1" t="shared" si="71"/>
        <v>35.00736001442155</v>
      </c>
      <c r="BW19" s="63">
        <f ca="1" t="shared" si="72"/>
        <v>0</v>
      </c>
      <c r="BX19" s="67">
        <f ca="1" t="shared" si="17"/>
        <v>39.08009883347465</v>
      </c>
      <c r="BY19" s="65">
        <f ca="1" t="shared" si="73"/>
        <v>0.10988226985331373</v>
      </c>
      <c r="BZ19" s="68">
        <f ca="1" t="shared" si="18"/>
        <v>-0.02086383392920288</v>
      </c>
      <c r="CA19" s="81">
        <f t="shared" si="74"/>
        <v>212.387</v>
      </c>
      <c r="CB19" s="63">
        <f t="shared" si="75"/>
        <v>212.387</v>
      </c>
      <c r="CC19" s="67">
        <f t="shared" si="76"/>
        <v>35.90132553133049</v>
      </c>
      <c r="CD19" s="69">
        <f ca="1" t="shared" si="19"/>
        <v>1.15</v>
      </c>
      <c r="CE19" s="190">
        <f ca="1" t="shared" si="77"/>
        <v>244.24505</v>
      </c>
      <c r="CF19" s="70">
        <f ca="1" t="shared" si="78"/>
        <v>244.24505</v>
      </c>
      <c r="CG19" s="67">
        <f ca="1" t="shared" si="79"/>
        <v>39.30481757441425</v>
      </c>
      <c r="CH19" s="65">
        <f ca="1" t="shared" si="80"/>
        <v>0.09480129194989151</v>
      </c>
      <c r="CI19" s="65">
        <f ca="1" t="shared" si="20"/>
        <v>-0.015233596211907563</v>
      </c>
      <c r="CJ19" s="68">
        <f ca="1" t="shared" si="81"/>
        <v>0.005750209125549022</v>
      </c>
      <c r="CL19" s="97">
        <f ca="1" t="shared" si="21"/>
        <v>85396965.37955874</v>
      </c>
      <c r="CM19" s="97">
        <f ca="1" t="shared" si="22"/>
        <v>83178474.3200796</v>
      </c>
      <c r="CN19" s="97">
        <f ca="1" t="shared" si="23"/>
        <v>83615257.27582175</v>
      </c>
      <c r="CO19" s="97">
        <f ca="1" t="shared" si="82"/>
        <v>84096062.4912443</v>
      </c>
      <c r="CQ19" s="97">
        <f t="shared" si="24"/>
        <v>66092058.365248464</v>
      </c>
      <c r="CR19" s="97">
        <f t="shared" si="25"/>
        <v>66190225.188076414</v>
      </c>
      <c r="CS19" s="97">
        <f t="shared" si="26"/>
        <v>65510479.214961484</v>
      </c>
      <c r="CT19" s="97">
        <f t="shared" si="83"/>
        <v>66794779.472454764</v>
      </c>
      <c r="CV19" s="97">
        <f ca="1" t="shared" si="27"/>
        <v>85396965.37955876</v>
      </c>
      <c r="CW19" s="97">
        <f ca="1" t="shared" si="84"/>
        <v>83178474.32007961</v>
      </c>
      <c r="CX19" s="97">
        <f ca="1" t="shared" si="85"/>
        <v>83178474.32007961</v>
      </c>
      <c r="CY19" s="97">
        <f ca="1" t="shared" si="86"/>
        <v>84096062.4912443</v>
      </c>
    </row>
    <row r="20" spans="2:103" ht="12.75">
      <c r="B20" s="14">
        <v>10025</v>
      </c>
      <c r="C20" s="15" t="s">
        <v>19</v>
      </c>
      <c r="D20" s="16">
        <f>RHWM!D7</f>
        <v>1</v>
      </c>
      <c r="E20" s="16">
        <f>RHWM!E7</f>
        <v>0</v>
      </c>
      <c r="F20" s="18">
        <f>RHWM!M7</f>
        <v>64.824</v>
      </c>
      <c r="G20" s="18">
        <f>RHWM!N7</f>
        <v>65.037</v>
      </c>
      <c r="H20" s="18">
        <f>RHWM!O7</f>
        <v>59.659</v>
      </c>
      <c r="I20" s="18">
        <v>5.165</v>
      </c>
      <c r="J20" s="18">
        <v>5.378</v>
      </c>
      <c r="K20" s="18">
        <v>0</v>
      </c>
      <c r="L20" s="18">
        <v>0</v>
      </c>
      <c r="M20" s="18">
        <v>5.165</v>
      </c>
      <c r="N20" s="18">
        <v>5.378</v>
      </c>
      <c r="O20" s="81">
        <f t="shared" si="28"/>
        <v>59.659</v>
      </c>
      <c r="P20" s="63">
        <f t="shared" si="29"/>
        <v>65.037</v>
      </c>
      <c r="Q20" s="63">
        <f t="shared" si="30"/>
        <v>59.659</v>
      </c>
      <c r="R20" s="63">
        <f t="shared" si="31"/>
        <v>5.378000000000007</v>
      </c>
      <c r="S20" s="63">
        <f t="shared" si="32"/>
        <v>0</v>
      </c>
      <c r="T20" s="67">
        <f t="shared" si="6"/>
        <v>36.36124952764046</v>
      </c>
      <c r="U20" s="138">
        <f ca="1" t="shared" si="7"/>
        <v>1.1</v>
      </c>
      <c r="V20" s="66">
        <f ca="1" t="shared" si="8"/>
        <v>71.54070000000002</v>
      </c>
      <c r="W20" s="66">
        <f ca="1" t="shared" si="33"/>
        <v>59.659</v>
      </c>
      <c r="X20" s="66">
        <f ca="1" t="shared" si="34"/>
        <v>11.881700000000016</v>
      </c>
      <c r="Y20" s="63">
        <f ca="1" t="shared" si="35"/>
        <v>0</v>
      </c>
      <c r="Z20" s="67">
        <f ca="1" t="shared" si="9"/>
        <v>39.59438324011534</v>
      </c>
      <c r="AA20" s="68">
        <f ca="1" t="shared" si="10"/>
        <v>0.08891701342708735</v>
      </c>
      <c r="AB20" s="169">
        <f t="shared" si="36"/>
        <v>59.659</v>
      </c>
      <c r="AC20" s="169">
        <f t="shared" si="37"/>
        <v>59.659</v>
      </c>
      <c r="AD20" s="169">
        <v>0.8600000000000001</v>
      </c>
      <c r="AE20" s="171">
        <f t="shared" si="38"/>
        <v>0.43000000000000005</v>
      </c>
      <c r="AF20" s="182">
        <v>0</v>
      </c>
      <c r="AG20" s="182">
        <f t="shared" si="39"/>
        <v>0</v>
      </c>
      <c r="AH20" s="182">
        <f t="shared" si="40"/>
        <v>0</v>
      </c>
      <c r="AI20" s="182">
        <v>0</v>
      </c>
      <c r="AJ20" s="171">
        <f t="shared" si="41"/>
        <v>2.6890000000000036</v>
      </c>
      <c r="AK20" s="171">
        <f t="shared" si="42"/>
        <v>62.778000000000006</v>
      </c>
      <c r="AL20" s="171">
        <f t="shared" si="43"/>
        <v>4.0063674921043555</v>
      </c>
      <c r="AM20" s="171">
        <f t="shared" si="44"/>
        <v>66.78436749210437</v>
      </c>
      <c r="AN20" s="81">
        <f t="shared" si="45"/>
        <v>66.78436749210437</v>
      </c>
      <c r="AO20" s="63">
        <f t="shared" si="46"/>
        <v>65.037</v>
      </c>
      <c r="AP20" s="63">
        <f t="shared" si="47"/>
        <v>65.037</v>
      </c>
      <c r="AQ20" s="63">
        <f t="shared" si="48"/>
        <v>0</v>
      </c>
      <c r="AR20" s="63">
        <f t="shared" si="49"/>
        <v>1.7473674921043596</v>
      </c>
      <c r="AS20" s="67">
        <f t="shared" si="11"/>
        <v>35.5763854636149</v>
      </c>
      <c r="AT20" s="65">
        <f ca="1" t="shared" si="12"/>
        <v>1.1</v>
      </c>
      <c r="AU20" s="66">
        <f ca="1" t="shared" si="50"/>
        <v>71.54070000000002</v>
      </c>
      <c r="AV20" s="66">
        <f ca="1" t="shared" si="51"/>
        <v>66.78436749210437</v>
      </c>
      <c r="AW20" s="66">
        <f ca="1" t="shared" si="52"/>
        <v>4.7563325078956495</v>
      </c>
      <c r="AX20" s="63">
        <f ca="1" t="shared" si="53"/>
        <v>0</v>
      </c>
      <c r="AY20" s="67">
        <f ca="1" t="shared" si="13"/>
        <v>38.158082149352765</v>
      </c>
      <c r="AZ20" s="65">
        <f ca="1" t="shared" si="54"/>
        <v>0.0725677061369332</v>
      </c>
      <c r="BA20" s="68">
        <f ca="1" t="shared" si="14"/>
        <v>-0.036275374768494406</v>
      </c>
      <c r="BB20" s="169">
        <f t="shared" si="55"/>
        <v>59.659</v>
      </c>
      <c r="BC20" s="169">
        <f t="shared" si="56"/>
        <v>59.659</v>
      </c>
      <c r="BD20" s="169">
        <v>0.8600000000000001</v>
      </c>
      <c r="BE20" s="171">
        <f t="shared" si="57"/>
        <v>0.43000000000000005</v>
      </c>
      <c r="BF20" s="182">
        <v>0</v>
      </c>
      <c r="BG20" s="182">
        <f t="shared" si="58"/>
        <v>0</v>
      </c>
      <c r="BH20" s="182">
        <f t="shared" si="59"/>
        <v>0</v>
      </c>
      <c r="BI20" s="169">
        <f t="shared" si="60"/>
        <v>1.3445000000000018</v>
      </c>
      <c r="BJ20" s="171">
        <f t="shared" si="61"/>
        <v>61.4335</v>
      </c>
      <c r="BK20" s="171">
        <f t="shared" si="62"/>
        <v>1.1786865219784997</v>
      </c>
      <c r="BL20" s="171">
        <f t="shared" si="63"/>
        <v>62.6121865219785</v>
      </c>
      <c r="BM20" s="81">
        <f t="shared" si="64"/>
        <v>62.6121865219785</v>
      </c>
      <c r="BN20" s="63">
        <f t="shared" si="15"/>
        <v>65.037</v>
      </c>
      <c r="BO20" s="63">
        <f t="shared" si="65"/>
        <v>62.6121865219785</v>
      </c>
      <c r="BP20" s="63">
        <f t="shared" si="66"/>
        <v>2.4248134780215054</v>
      </c>
      <c r="BQ20" s="63">
        <f t="shared" si="67"/>
        <v>0</v>
      </c>
      <c r="BR20" s="67">
        <f t="shared" si="68"/>
        <v>35.84717160879565</v>
      </c>
      <c r="BS20" s="69">
        <f ca="1" t="shared" si="16"/>
        <v>1.1</v>
      </c>
      <c r="BT20" s="66">
        <f ca="1" t="shared" si="69"/>
        <v>71.54070000000002</v>
      </c>
      <c r="BU20" s="66">
        <f ca="1" t="shared" si="70"/>
        <v>62.6121865219785</v>
      </c>
      <c r="BV20" s="66">
        <f ca="1" t="shared" si="71"/>
        <v>8.928513478021515</v>
      </c>
      <c r="BW20" s="63">
        <f ca="1" t="shared" si="72"/>
        <v>0</v>
      </c>
      <c r="BX20" s="67">
        <f ca="1" t="shared" si="17"/>
        <v>38.56023442740897</v>
      </c>
      <c r="BY20" s="65">
        <f ca="1" t="shared" si="73"/>
        <v>0.07568415294297948</v>
      </c>
      <c r="BZ20" s="68">
        <f ca="1" t="shared" si="18"/>
        <v>-0.026118573597545325</v>
      </c>
      <c r="CA20" s="81">
        <f t="shared" si="74"/>
        <v>65.037</v>
      </c>
      <c r="CB20" s="63">
        <f t="shared" si="75"/>
        <v>65.037</v>
      </c>
      <c r="CC20" s="67">
        <f t="shared" si="76"/>
        <v>35.90132553133049</v>
      </c>
      <c r="CD20" s="69">
        <f ca="1" t="shared" si="19"/>
        <v>1.1</v>
      </c>
      <c r="CE20" s="190">
        <f ca="1" t="shared" si="77"/>
        <v>71.54070000000002</v>
      </c>
      <c r="CF20" s="70">
        <f ca="1" t="shared" si="78"/>
        <v>71.54070000000002</v>
      </c>
      <c r="CG20" s="67">
        <f ca="1" t="shared" si="79"/>
        <v>39.30481757441425</v>
      </c>
      <c r="CH20" s="65">
        <f ca="1" t="shared" si="80"/>
        <v>0.09480129194989151</v>
      </c>
      <c r="CI20" s="65">
        <f ca="1" t="shared" si="20"/>
        <v>-0.007313301584849885</v>
      </c>
      <c r="CJ20" s="68">
        <f ca="1" t="shared" si="81"/>
        <v>0.019309611522382752</v>
      </c>
      <c r="CL20" s="97">
        <f ca="1" t="shared" si="21"/>
        <v>24813662.663259212</v>
      </c>
      <c r="CM20" s="97">
        <f ca="1" t="shared" si="22"/>
        <v>23913537.75077049</v>
      </c>
      <c r="CN20" s="97">
        <f ca="1" t="shared" si="23"/>
        <v>24165565.188764215</v>
      </c>
      <c r="CO20" s="97">
        <f ca="1" t="shared" si="82"/>
        <v>24632192.864778068</v>
      </c>
      <c r="CQ20" s="97">
        <f t="shared" si="24"/>
        <v>20715880.88923538</v>
      </c>
      <c r="CR20" s="97">
        <f t="shared" si="25"/>
        <v>20268724.901038792</v>
      </c>
      <c r="CS20" s="97">
        <f t="shared" si="26"/>
        <v>20422998.29931009</v>
      </c>
      <c r="CT20" s="97">
        <f t="shared" si="83"/>
        <v>20453851.0951708</v>
      </c>
      <c r="CV20" s="97">
        <f ca="1" t="shared" si="27"/>
        <v>24813662.663259212</v>
      </c>
      <c r="CW20" s="97">
        <f ca="1" t="shared" si="84"/>
        <v>23913537.75077049</v>
      </c>
      <c r="CX20" s="97">
        <f ca="1" t="shared" si="85"/>
        <v>23913537.75077049</v>
      </c>
      <c r="CY20" s="97">
        <f ca="1" t="shared" si="86"/>
        <v>24632192.864778068</v>
      </c>
    </row>
    <row r="21" spans="2:103" ht="12.75">
      <c r="B21" s="14">
        <v>10027</v>
      </c>
      <c r="C21" s="15" t="s">
        <v>20</v>
      </c>
      <c r="D21" s="16">
        <f>RHWM!D8</f>
        <v>1</v>
      </c>
      <c r="E21" s="16">
        <f>RHWM!E8</f>
        <v>0</v>
      </c>
      <c r="F21" s="18">
        <f>RHWM!M8</f>
        <v>67.791</v>
      </c>
      <c r="G21" s="18">
        <f>RHWM!N8</f>
        <v>68.216</v>
      </c>
      <c r="H21" s="18">
        <f>RHWM!O8</f>
        <v>61.194</v>
      </c>
      <c r="I21" s="18">
        <v>6.597</v>
      </c>
      <c r="J21" s="18">
        <v>7.022</v>
      </c>
      <c r="K21" s="18">
        <v>0</v>
      </c>
      <c r="L21" s="18">
        <v>0</v>
      </c>
      <c r="M21" s="18">
        <v>6.597</v>
      </c>
      <c r="N21" s="18">
        <v>7.022</v>
      </c>
      <c r="O21" s="81">
        <f t="shared" si="28"/>
        <v>61.194</v>
      </c>
      <c r="P21" s="63">
        <f t="shared" si="29"/>
        <v>68.216</v>
      </c>
      <c r="Q21" s="63">
        <f t="shared" si="30"/>
        <v>61.194</v>
      </c>
      <c r="R21" s="63">
        <f t="shared" si="31"/>
        <v>7.021999999999991</v>
      </c>
      <c r="S21" s="63">
        <f t="shared" si="32"/>
        <v>0</v>
      </c>
      <c r="T21" s="67">
        <f t="shared" si="6"/>
        <v>36.95185409859728</v>
      </c>
      <c r="U21" s="138">
        <f ca="1" t="shared" si="7"/>
        <v>1.1</v>
      </c>
      <c r="V21" s="66">
        <f ca="1" t="shared" si="8"/>
        <v>75.0376</v>
      </c>
      <c r="W21" s="66">
        <f ca="1" t="shared" si="33"/>
        <v>61.194</v>
      </c>
      <c r="X21" s="66">
        <f ca="1" t="shared" si="34"/>
        <v>13.843599999999995</v>
      </c>
      <c r="Y21" s="63">
        <f ca="1" t="shared" si="35"/>
        <v>0</v>
      </c>
      <c r="Z21" s="67">
        <f ca="1" t="shared" si="9"/>
        <v>40.1136278441307</v>
      </c>
      <c r="AA21" s="68">
        <f ca="1" t="shared" si="10"/>
        <v>0.08556468471370815</v>
      </c>
      <c r="AB21" s="169">
        <f t="shared" si="36"/>
        <v>61.194</v>
      </c>
      <c r="AC21" s="169">
        <f t="shared" si="37"/>
        <v>61.194</v>
      </c>
      <c r="AD21" s="169">
        <v>0.006</v>
      </c>
      <c r="AE21" s="171">
        <f t="shared" si="38"/>
        <v>0.003</v>
      </c>
      <c r="AF21" s="182">
        <v>0</v>
      </c>
      <c r="AG21" s="182">
        <f t="shared" si="39"/>
        <v>0</v>
      </c>
      <c r="AH21" s="182">
        <f t="shared" si="40"/>
        <v>0</v>
      </c>
      <c r="AI21" s="182">
        <v>0</v>
      </c>
      <c r="AJ21" s="171">
        <f t="shared" si="41"/>
        <v>3.5109999999999957</v>
      </c>
      <c r="AK21" s="171">
        <f t="shared" si="42"/>
        <v>64.708</v>
      </c>
      <c r="AL21" s="171">
        <f t="shared" si="43"/>
        <v>4.129536265556224</v>
      </c>
      <c r="AM21" s="171">
        <f t="shared" si="44"/>
        <v>68.83753626555622</v>
      </c>
      <c r="AN21" s="81">
        <f t="shared" si="45"/>
        <v>68.83753626555622</v>
      </c>
      <c r="AO21" s="63">
        <f t="shared" si="46"/>
        <v>68.216</v>
      </c>
      <c r="AP21" s="63">
        <f t="shared" si="47"/>
        <v>68.216</v>
      </c>
      <c r="AQ21" s="63">
        <f t="shared" si="48"/>
        <v>0</v>
      </c>
      <c r="AR21" s="63">
        <f t="shared" si="49"/>
        <v>0.6215362655562302</v>
      </c>
      <c r="AS21" s="67">
        <f t="shared" si="11"/>
        <v>35.5763854636149</v>
      </c>
      <c r="AT21" s="65">
        <f ca="1" t="shared" si="12"/>
        <v>1.1</v>
      </c>
      <c r="AU21" s="66">
        <f ca="1" t="shared" si="50"/>
        <v>75.0376</v>
      </c>
      <c r="AV21" s="66">
        <f ca="1" t="shared" si="51"/>
        <v>68.83753626555622</v>
      </c>
      <c r="AW21" s="66">
        <f ca="1" t="shared" si="52"/>
        <v>6.2000637344437735</v>
      </c>
      <c r="AX21" s="63">
        <f ca="1" t="shared" si="53"/>
        <v>0</v>
      </c>
      <c r="AY21" s="67">
        <f ca="1" t="shared" si="13"/>
        <v>38.589708965540474</v>
      </c>
      <c r="AZ21" s="65">
        <f ca="1" t="shared" si="54"/>
        <v>0.08470010268489458</v>
      </c>
      <c r="BA21" s="68">
        <f ca="1" t="shared" si="14"/>
        <v>-0.03799005376705655</v>
      </c>
      <c r="BB21" s="169">
        <f t="shared" si="55"/>
        <v>61.194</v>
      </c>
      <c r="BC21" s="169">
        <f t="shared" si="56"/>
        <v>61.194</v>
      </c>
      <c r="BD21" s="169">
        <v>0.006</v>
      </c>
      <c r="BE21" s="171">
        <f t="shared" si="57"/>
        <v>0.003</v>
      </c>
      <c r="BF21" s="182">
        <v>0</v>
      </c>
      <c r="BG21" s="182">
        <f t="shared" si="58"/>
        <v>0</v>
      </c>
      <c r="BH21" s="182">
        <f t="shared" si="59"/>
        <v>0</v>
      </c>
      <c r="BI21" s="169">
        <f t="shared" si="60"/>
        <v>1.7554999999999978</v>
      </c>
      <c r="BJ21" s="171">
        <f t="shared" si="61"/>
        <v>62.9525</v>
      </c>
      <c r="BK21" s="171">
        <f t="shared" si="62"/>
        <v>1.2078306343420364</v>
      </c>
      <c r="BL21" s="171">
        <f t="shared" si="63"/>
        <v>64.16033063434203</v>
      </c>
      <c r="BM21" s="81">
        <f t="shared" si="64"/>
        <v>64.16033063434203</v>
      </c>
      <c r="BN21" s="63">
        <f t="shared" si="15"/>
        <v>68.216</v>
      </c>
      <c r="BO21" s="63">
        <f t="shared" si="65"/>
        <v>64.16033063434203</v>
      </c>
      <c r="BP21" s="63">
        <f t="shared" si="66"/>
        <v>4.0556693656579625</v>
      </c>
      <c r="BQ21" s="63">
        <f t="shared" si="67"/>
        <v>0</v>
      </c>
      <c r="BR21" s="67">
        <f t="shared" si="68"/>
        <v>36.47521913176163</v>
      </c>
      <c r="BS21" s="69">
        <f ca="1" t="shared" si="16"/>
        <v>1.1</v>
      </c>
      <c r="BT21" s="66">
        <f ca="1" t="shared" si="69"/>
        <v>75.0376</v>
      </c>
      <c r="BU21" s="66">
        <f ca="1" t="shared" si="70"/>
        <v>64.16033063434203</v>
      </c>
      <c r="BV21" s="66">
        <f ca="1" t="shared" si="71"/>
        <v>10.877269365657966</v>
      </c>
      <c r="BW21" s="63">
        <f ca="1" t="shared" si="72"/>
        <v>0</v>
      </c>
      <c r="BX21" s="67">
        <f ca="1" t="shared" si="17"/>
        <v>39.125804661314945</v>
      </c>
      <c r="BY21" s="65">
        <f ca="1" t="shared" si="73"/>
        <v>0.07266811804415618</v>
      </c>
      <c r="BZ21" s="68">
        <f ca="1" t="shared" si="18"/>
        <v>-0.024625625651564897</v>
      </c>
      <c r="CA21" s="81">
        <f t="shared" si="74"/>
        <v>68.216</v>
      </c>
      <c r="CB21" s="63">
        <f t="shared" si="75"/>
        <v>68.216</v>
      </c>
      <c r="CC21" s="67">
        <f t="shared" si="76"/>
        <v>35.90132553133049</v>
      </c>
      <c r="CD21" s="69">
        <f ca="1" t="shared" si="19"/>
        <v>1.1</v>
      </c>
      <c r="CE21" s="190">
        <f ca="1" t="shared" si="77"/>
        <v>75.0376</v>
      </c>
      <c r="CF21" s="70">
        <f ca="1" t="shared" si="78"/>
        <v>75.0376</v>
      </c>
      <c r="CG21" s="67">
        <f ca="1" t="shared" si="79"/>
        <v>39.30481757441425</v>
      </c>
      <c r="CH21" s="65">
        <f ca="1" t="shared" si="80"/>
        <v>0.09480129194989151</v>
      </c>
      <c r="CI21" s="65">
        <f ca="1" t="shared" si="20"/>
        <v>-0.02016297984463622</v>
      </c>
      <c r="CJ21" s="68">
        <f ca="1" t="shared" si="81"/>
        <v>0.004575315821588877</v>
      </c>
      <c r="CL21" s="97">
        <f ca="1" t="shared" si="21"/>
        <v>26367865.959878657</v>
      </c>
      <c r="CM21" s="97">
        <f ca="1" t="shared" si="22"/>
        <v>25366149.314340327</v>
      </c>
      <c r="CN21" s="97">
        <f ca="1" t="shared" si="23"/>
        <v>25718540.763520043</v>
      </c>
      <c r="CO21" s="97">
        <f ca="1" t="shared" si="82"/>
        <v>25836211.209983554</v>
      </c>
      <c r="CQ21" s="97">
        <f t="shared" si="24"/>
        <v>22081399.269703627</v>
      </c>
      <c r="CR21" s="97">
        <f t="shared" si="25"/>
        <v>21259457.50648495</v>
      </c>
      <c r="CS21" s="97">
        <f t="shared" si="26"/>
        <v>21796575.483040117</v>
      </c>
      <c r="CT21" s="97">
        <f t="shared" si="83"/>
        <v>21453632.644620307</v>
      </c>
      <c r="CV21" s="97">
        <f ca="1" t="shared" si="27"/>
        <v>26367865.959878657</v>
      </c>
      <c r="CW21" s="97">
        <f ca="1" t="shared" si="84"/>
        <v>25366149.314340327</v>
      </c>
      <c r="CX21" s="97">
        <f ca="1" t="shared" si="85"/>
        <v>25366149.314340327</v>
      </c>
      <c r="CY21" s="97">
        <f ca="1" t="shared" si="86"/>
        <v>25836211.20998355</v>
      </c>
    </row>
    <row r="22" spans="2:103" ht="12.75">
      <c r="B22" s="14">
        <v>10029</v>
      </c>
      <c r="C22" s="15" t="s">
        <v>21</v>
      </c>
      <c r="D22" s="16">
        <f>RHWM!D9</f>
        <v>0</v>
      </c>
      <c r="E22" s="16">
        <f>RHWM!E9</f>
        <v>1</v>
      </c>
      <c r="F22" s="18">
        <f>RHWM!M9</f>
        <v>21.679</v>
      </c>
      <c r="G22" s="18">
        <f>RHWM!N9</f>
        <v>21.674</v>
      </c>
      <c r="H22" s="18">
        <f>RHWM!O9</f>
        <v>17.616</v>
      </c>
      <c r="I22" s="18">
        <v>4.063</v>
      </c>
      <c r="J22" s="18">
        <v>4.058</v>
      </c>
      <c r="K22" s="18">
        <v>0</v>
      </c>
      <c r="L22" s="18">
        <v>0</v>
      </c>
      <c r="M22" s="18">
        <v>4.063</v>
      </c>
      <c r="N22" s="18">
        <v>4.058</v>
      </c>
      <c r="O22" s="81">
        <f t="shared" si="28"/>
        <v>17.616</v>
      </c>
      <c r="P22" s="63">
        <f t="shared" si="29"/>
        <v>21.674</v>
      </c>
      <c r="Q22" s="63">
        <f t="shared" si="30"/>
        <v>17.616</v>
      </c>
      <c r="R22" s="63">
        <f t="shared" si="31"/>
        <v>4.058</v>
      </c>
      <c r="S22" s="63">
        <f t="shared" si="32"/>
        <v>0</v>
      </c>
      <c r="T22" s="67">
        <f t="shared" si="6"/>
        <v>39.41070758755785</v>
      </c>
      <c r="U22" s="138">
        <f ca="1" t="shared" si="7"/>
        <v>1.07</v>
      </c>
      <c r="V22" s="66">
        <f ca="1" t="shared" si="8"/>
        <v>23.19118</v>
      </c>
      <c r="W22" s="66">
        <f ca="1" t="shared" si="33"/>
        <v>17.616</v>
      </c>
      <c r="X22" s="66">
        <f ca="1" t="shared" si="34"/>
        <v>5.57518</v>
      </c>
      <c r="Y22" s="63">
        <f ca="1" t="shared" si="35"/>
        <v>0</v>
      </c>
      <c r="Z22" s="67">
        <f ca="1" t="shared" si="9"/>
        <v>41.69096132650451</v>
      </c>
      <c r="AA22" s="68">
        <f ca="1" t="shared" si="10"/>
        <v>0.05785873633150751</v>
      </c>
      <c r="AB22" s="169">
        <f t="shared" si="36"/>
        <v>17.616</v>
      </c>
      <c r="AC22" s="169">
        <f t="shared" si="37"/>
        <v>17.616</v>
      </c>
      <c r="AD22" s="169">
        <v>0</v>
      </c>
      <c r="AE22" s="171">
        <f t="shared" si="38"/>
        <v>0</v>
      </c>
      <c r="AF22" s="182">
        <v>0</v>
      </c>
      <c r="AG22" s="182">
        <f t="shared" si="39"/>
        <v>0</v>
      </c>
      <c r="AH22" s="182">
        <f t="shared" si="40"/>
        <v>0</v>
      </c>
      <c r="AI22" s="182">
        <v>0</v>
      </c>
      <c r="AJ22" s="171">
        <f t="shared" si="41"/>
        <v>2.029</v>
      </c>
      <c r="AK22" s="171">
        <f t="shared" si="42"/>
        <v>19.645</v>
      </c>
      <c r="AL22" s="171">
        <f t="shared" si="43"/>
        <v>1.2537049504984241</v>
      </c>
      <c r="AM22" s="171">
        <f t="shared" si="44"/>
        <v>20.898704950498423</v>
      </c>
      <c r="AN22" s="81">
        <f t="shared" si="45"/>
        <v>20.898704950498423</v>
      </c>
      <c r="AO22" s="63">
        <f t="shared" si="46"/>
        <v>21.674</v>
      </c>
      <c r="AP22" s="63">
        <f t="shared" si="47"/>
        <v>20.898704950498423</v>
      </c>
      <c r="AQ22" s="63">
        <f t="shared" si="48"/>
        <v>0.775295049501576</v>
      </c>
      <c r="AR22" s="63">
        <f t="shared" si="49"/>
        <v>0</v>
      </c>
      <c r="AS22" s="67">
        <f t="shared" si="11"/>
        <v>36.561640976922966</v>
      </c>
      <c r="AT22" s="65">
        <f ca="1" t="shared" si="12"/>
        <v>1.07</v>
      </c>
      <c r="AU22" s="66">
        <f ca="1" t="shared" si="50"/>
        <v>23.19118</v>
      </c>
      <c r="AV22" s="66">
        <f ca="1" t="shared" si="51"/>
        <v>20.898704950498423</v>
      </c>
      <c r="AW22" s="66">
        <f ca="1" t="shared" si="52"/>
        <v>2.2924750495015758</v>
      </c>
      <c r="AX22" s="63">
        <f ca="1" t="shared" si="53"/>
        <v>0</v>
      </c>
      <c r="AY22" s="67">
        <f ca="1" t="shared" si="13"/>
        <v>39.023562175928326</v>
      </c>
      <c r="AZ22" s="65">
        <f ca="1" t="shared" si="54"/>
        <v>0.06733617893571231</v>
      </c>
      <c r="BA22" s="68">
        <f ca="1" t="shared" si="14"/>
        <v>-0.06398027451769062</v>
      </c>
      <c r="BB22" s="169">
        <f t="shared" si="55"/>
        <v>17.616</v>
      </c>
      <c r="BC22" s="169">
        <f t="shared" si="56"/>
        <v>17.616</v>
      </c>
      <c r="BD22" s="169">
        <v>0</v>
      </c>
      <c r="BE22" s="171">
        <f t="shared" si="57"/>
        <v>0</v>
      </c>
      <c r="BF22" s="182">
        <v>0</v>
      </c>
      <c r="BG22" s="182">
        <f t="shared" si="58"/>
        <v>0</v>
      </c>
      <c r="BH22" s="182">
        <f t="shared" si="59"/>
        <v>0</v>
      </c>
      <c r="BI22" s="169">
        <f t="shared" si="60"/>
        <v>1.0145</v>
      </c>
      <c r="BJ22" s="171">
        <f t="shared" si="61"/>
        <v>18.630499999999998</v>
      </c>
      <c r="BK22" s="171">
        <f t="shared" si="62"/>
        <v>0.35745186661545303</v>
      </c>
      <c r="BL22" s="171">
        <f t="shared" si="63"/>
        <v>18.98795186661545</v>
      </c>
      <c r="BM22" s="81">
        <f t="shared" si="64"/>
        <v>18.98795186661545</v>
      </c>
      <c r="BN22" s="63">
        <f t="shared" si="15"/>
        <v>21.674</v>
      </c>
      <c r="BO22" s="63">
        <f t="shared" si="65"/>
        <v>18.98795186661545</v>
      </c>
      <c r="BP22" s="63">
        <f t="shared" si="66"/>
        <v>2.686048133384549</v>
      </c>
      <c r="BQ22" s="63">
        <f t="shared" si="67"/>
        <v>0</v>
      </c>
      <c r="BR22" s="67">
        <f t="shared" si="68"/>
        <v>38.30176670712937</v>
      </c>
      <c r="BS22" s="69">
        <f ca="1" t="shared" si="16"/>
        <v>1.07</v>
      </c>
      <c r="BT22" s="66">
        <f ca="1" t="shared" si="69"/>
        <v>23.19118</v>
      </c>
      <c r="BU22" s="66">
        <f ca="1" t="shared" si="70"/>
        <v>18.98795186661545</v>
      </c>
      <c r="BV22" s="66">
        <f ca="1" t="shared" si="71"/>
        <v>4.203228133384549</v>
      </c>
      <c r="BW22" s="63">
        <f ca="1" t="shared" si="72"/>
        <v>0</v>
      </c>
      <c r="BX22" s="67">
        <f ca="1" t="shared" si="17"/>
        <v>40.14403254465748</v>
      </c>
      <c r="BY22" s="65">
        <f ca="1" t="shared" si="73"/>
        <v>0.048098717002137636</v>
      </c>
      <c r="BZ22" s="68">
        <f ca="1" t="shared" si="18"/>
        <v>-0.03710465608437741</v>
      </c>
      <c r="CA22" s="81">
        <f t="shared" si="74"/>
        <v>21.674</v>
      </c>
      <c r="CB22" s="63">
        <f t="shared" si="75"/>
        <v>21.674</v>
      </c>
      <c r="CC22" s="67">
        <f t="shared" si="76"/>
        <v>35.90132553133049</v>
      </c>
      <c r="CD22" s="69">
        <f ca="1" t="shared" si="19"/>
        <v>1.07</v>
      </c>
      <c r="CE22" s="190">
        <f ca="1" t="shared" si="77"/>
        <v>23.19118</v>
      </c>
      <c r="CF22" s="70">
        <f ca="1" t="shared" si="78"/>
        <v>23.19118</v>
      </c>
      <c r="CG22" s="67">
        <f ca="1" t="shared" si="79"/>
        <v>39.30481757441425</v>
      </c>
      <c r="CH22" s="65">
        <f ca="1" t="shared" si="80"/>
        <v>0.09480129194989151</v>
      </c>
      <c r="CI22" s="65">
        <f ca="1" t="shared" si="20"/>
        <v>-0.05723407847094408</v>
      </c>
      <c r="CJ22" s="68">
        <f ca="1" t="shared" si="81"/>
        <v>-0.020905098891339735</v>
      </c>
      <c r="CL22" s="97">
        <f ca="1" t="shared" si="21"/>
        <v>8469716.275225002</v>
      </c>
      <c r="CM22" s="97">
        <f ca="1" t="shared" si="22"/>
        <v>7927821.502849153</v>
      </c>
      <c r="CN22" s="97">
        <f ca="1" t="shared" si="23"/>
        <v>8155450.365700522</v>
      </c>
      <c r="CO22" s="97">
        <f ca="1" t="shared" si="82"/>
        <v>7984959.8693021415</v>
      </c>
      <c r="CQ22" s="97">
        <f t="shared" si="24"/>
        <v>7482684.043973906</v>
      </c>
      <c r="CR22" s="97">
        <f t="shared" si="25"/>
        <v>6941748.177236335</v>
      </c>
      <c r="CS22" s="97">
        <f t="shared" si="26"/>
        <v>7272135.82650642</v>
      </c>
      <c r="CT22" s="97">
        <f t="shared" si="83"/>
        <v>6816377.88699866</v>
      </c>
      <c r="CV22" s="97">
        <f ca="1" t="shared" si="27"/>
        <v>8469716.275225002</v>
      </c>
      <c r="CW22" s="97">
        <f ca="1" t="shared" si="84"/>
        <v>7927821.502849154</v>
      </c>
      <c r="CX22" s="97">
        <f ca="1" t="shared" si="85"/>
        <v>7927821.502849154</v>
      </c>
      <c r="CY22" s="97">
        <f ca="1" t="shared" si="86"/>
        <v>7984959.8693021415</v>
      </c>
    </row>
    <row r="23" spans="2:103" ht="12.75">
      <c r="B23" s="14">
        <v>10044</v>
      </c>
      <c r="C23" s="15" t="s">
        <v>22</v>
      </c>
      <c r="D23" s="16">
        <f>RHWM!D10</f>
        <v>1</v>
      </c>
      <c r="E23" s="16">
        <f>RHWM!E10</f>
        <v>0</v>
      </c>
      <c r="F23" s="18">
        <f>RHWM!M10</f>
        <v>23.851</v>
      </c>
      <c r="G23" s="18">
        <f>RHWM!N10</f>
        <v>24.05</v>
      </c>
      <c r="H23" s="18">
        <f>RHWM!O10</f>
        <v>20.309</v>
      </c>
      <c r="I23" s="18">
        <v>3.542</v>
      </c>
      <c r="J23" s="18">
        <v>3.741</v>
      </c>
      <c r="K23" s="18">
        <v>0</v>
      </c>
      <c r="L23" s="18">
        <v>0</v>
      </c>
      <c r="M23" s="18">
        <v>3.542</v>
      </c>
      <c r="N23" s="18">
        <v>3.741</v>
      </c>
      <c r="O23" s="81">
        <f t="shared" si="28"/>
        <v>20.309</v>
      </c>
      <c r="P23" s="63">
        <f t="shared" si="29"/>
        <v>24.05</v>
      </c>
      <c r="Q23" s="63">
        <f t="shared" si="30"/>
        <v>20.309</v>
      </c>
      <c r="R23" s="63">
        <f t="shared" si="31"/>
        <v>3.7409999999999997</v>
      </c>
      <c r="S23" s="63">
        <f t="shared" si="32"/>
        <v>0</v>
      </c>
      <c r="T23" s="67">
        <f t="shared" si="6"/>
        <v>38.486630617168736</v>
      </c>
      <c r="U23" s="138">
        <f ca="1" t="shared" si="7"/>
        <v>0.96</v>
      </c>
      <c r="V23" s="66">
        <f ca="1" t="shared" si="8"/>
        <v>23.088</v>
      </c>
      <c r="W23" s="66">
        <f ca="1" t="shared" si="33"/>
        <v>20.309</v>
      </c>
      <c r="X23" s="66">
        <f ca="1" t="shared" si="34"/>
        <v>2.779</v>
      </c>
      <c r="Y23" s="63">
        <f ca="1" t="shared" si="35"/>
        <v>0</v>
      </c>
      <c r="Z23" s="67">
        <f ca="1" t="shared" si="9"/>
        <v>38.30464687902776</v>
      </c>
      <c r="AA23" s="68">
        <f ca="1" t="shared" si="10"/>
        <v>-0.004728492341956159</v>
      </c>
      <c r="AB23" s="169">
        <f t="shared" si="36"/>
        <v>20.309</v>
      </c>
      <c r="AC23" s="169">
        <f t="shared" si="37"/>
        <v>20.309</v>
      </c>
      <c r="AD23" s="169">
        <v>0</v>
      </c>
      <c r="AE23" s="171">
        <f t="shared" si="38"/>
        <v>0</v>
      </c>
      <c r="AF23" s="182">
        <v>0</v>
      </c>
      <c r="AG23" s="182">
        <f t="shared" si="39"/>
        <v>0</v>
      </c>
      <c r="AH23" s="182">
        <f t="shared" si="40"/>
        <v>0</v>
      </c>
      <c r="AI23" s="182">
        <v>0</v>
      </c>
      <c r="AJ23" s="171">
        <f t="shared" si="41"/>
        <v>1.8704999999999998</v>
      </c>
      <c r="AK23" s="171">
        <f t="shared" si="42"/>
        <v>22.1795</v>
      </c>
      <c r="AL23" s="171">
        <f t="shared" si="43"/>
        <v>1.415451715427834</v>
      </c>
      <c r="AM23" s="171">
        <f t="shared" si="44"/>
        <v>23.594951715427836</v>
      </c>
      <c r="AN23" s="81">
        <f t="shared" si="45"/>
        <v>23.594951715427836</v>
      </c>
      <c r="AO23" s="63">
        <f t="shared" si="46"/>
        <v>24.05</v>
      </c>
      <c r="AP23" s="63">
        <f t="shared" si="47"/>
        <v>23.594951715427836</v>
      </c>
      <c r="AQ23" s="63">
        <f t="shared" si="48"/>
        <v>0.4550482845721646</v>
      </c>
      <c r="AR23" s="63">
        <f t="shared" si="49"/>
        <v>0</v>
      </c>
      <c r="AS23" s="67">
        <f t="shared" si="11"/>
        <v>36.09753617237577</v>
      </c>
      <c r="AT23" s="65">
        <f ca="1" t="shared" si="12"/>
        <v>0.96</v>
      </c>
      <c r="AU23" s="66">
        <f ca="1" t="shared" si="50"/>
        <v>23.088</v>
      </c>
      <c r="AV23" s="66">
        <f ca="1" t="shared" si="51"/>
        <v>23.088</v>
      </c>
      <c r="AW23" s="66">
        <f ca="1" t="shared" si="52"/>
        <v>0</v>
      </c>
      <c r="AX23" s="63">
        <f ca="1" t="shared" si="53"/>
        <v>0.5069517154278351</v>
      </c>
      <c r="AY23" s="67">
        <f ca="1" t="shared" si="13"/>
        <v>36.38031310262951</v>
      </c>
      <c r="AZ23" s="65">
        <f ca="1" t="shared" si="54"/>
        <v>0.00783369061266126</v>
      </c>
      <c r="BA23" s="68">
        <f ca="1" t="shared" si="14"/>
        <v>-0.05023760648350595</v>
      </c>
      <c r="BB23" s="169">
        <f t="shared" si="55"/>
        <v>20.309</v>
      </c>
      <c r="BC23" s="169">
        <f t="shared" si="56"/>
        <v>20.309</v>
      </c>
      <c r="BD23" s="169">
        <v>0</v>
      </c>
      <c r="BE23" s="171">
        <f t="shared" si="57"/>
        <v>0</v>
      </c>
      <c r="BF23" s="182">
        <v>0</v>
      </c>
      <c r="BG23" s="182">
        <f t="shared" si="58"/>
        <v>0</v>
      </c>
      <c r="BH23" s="182">
        <f t="shared" si="59"/>
        <v>0</v>
      </c>
      <c r="BI23" s="169">
        <f t="shared" si="60"/>
        <v>0.9352499999999999</v>
      </c>
      <c r="BJ23" s="171">
        <f t="shared" si="61"/>
        <v>21.24425</v>
      </c>
      <c r="BK23" s="171">
        <f t="shared" si="62"/>
        <v>0.407600269308142</v>
      </c>
      <c r="BL23" s="171">
        <f t="shared" si="63"/>
        <v>21.65185026930814</v>
      </c>
      <c r="BM23" s="81">
        <f t="shared" si="64"/>
        <v>21.65185026930814</v>
      </c>
      <c r="BN23" s="63">
        <f t="shared" si="15"/>
        <v>24.05</v>
      </c>
      <c r="BO23" s="63">
        <f t="shared" si="65"/>
        <v>21.65185026930814</v>
      </c>
      <c r="BP23" s="63">
        <f t="shared" si="66"/>
        <v>2.398149730691859</v>
      </c>
      <c r="BQ23" s="63">
        <f t="shared" si="67"/>
        <v>0</v>
      </c>
      <c r="BR23" s="67">
        <f t="shared" si="68"/>
        <v>37.615797736386995</v>
      </c>
      <c r="BS23" s="69">
        <f ca="1" t="shared" si="16"/>
        <v>0.96</v>
      </c>
      <c r="BT23" s="66">
        <f ca="1" t="shared" si="69"/>
        <v>23.088</v>
      </c>
      <c r="BU23" s="66">
        <f ca="1" t="shared" si="70"/>
        <v>21.65185026930814</v>
      </c>
      <c r="BV23" s="66">
        <f ca="1" t="shared" si="71"/>
        <v>1.4361497306918594</v>
      </c>
      <c r="BW23" s="63">
        <f ca="1" t="shared" si="72"/>
        <v>0</v>
      </c>
      <c r="BX23" s="67">
        <f ca="1" t="shared" si="17"/>
        <v>36.803554283329596</v>
      </c>
      <c r="BY23" s="65">
        <f ca="1" t="shared" si="73"/>
        <v>-0.021593147080107955</v>
      </c>
      <c r="BZ23" s="68">
        <f ca="1" t="shared" si="18"/>
        <v>-0.0391882635137939</v>
      </c>
      <c r="CA23" s="81">
        <f t="shared" si="74"/>
        <v>24.05</v>
      </c>
      <c r="CB23" s="63">
        <f t="shared" si="75"/>
        <v>24.05</v>
      </c>
      <c r="CC23" s="67">
        <f t="shared" si="76"/>
        <v>35.90132553133049</v>
      </c>
      <c r="CD23" s="69">
        <f ca="1" t="shared" si="19"/>
        <v>0.96</v>
      </c>
      <c r="CE23" s="190">
        <f ca="1" t="shared" si="77"/>
        <v>23.088</v>
      </c>
      <c r="CF23" s="70">
        <f ca="1" t="shared" si="78"/>
        <v>23.088</v>
      </c>
      <c r="CG23" s="67">
        <f ca="1" t="shared" si="79"/>
        <v>39.30481757441425</v>
      </c>
      <c r="CH23" s="65">
        <f ca="1" t="shared" si="80"/>
        <v>0.09480129194989151</v>
      </c>
      <c r="CI23" s="65">
        <f ca="1" t="shared" si="20"/>
        <v>0.026110949372414094</v>
      </c>
      <c r="CJ23" s="68">
        <f ca="1" t="shared" si="81"/>
        <v>0.06796254709066551</v>
      </c>
      <c r="CL23" s="97">
        <f ca="1" t="shared" si="21"/>
        <v>7747148.539372617</v>
      </c>
      <c r="CM23" s="97">
        <f ca="1" t="shared" si="22"/>
        <v>7357950.339682349</v>
      </c>
      <c r="CN23" s="97">
        <f ca="1" t="shared" si="23"/>
        <v>7443551.24093118</v>
      </c>
      <c r="CO23" s="97">
        <f ca="1" t="shared" si="82"/>
        <v>7949433.942664748</v>
      </c>
      <c r="CQ23" s="97">
        <f t="shared" si="24"/>
        <v>8108286.365163876</v>
      </c>
      <c r="CR23" s="97">
        <f t="shared" si="25"/>
        <v>7604956.7257237835</v>
      </c>
      <c r="CS23" s="97">
        <f t="shared" si="26"/>
        <v>7924821.035506541</v>
      </c>
      <c r="CT23" s="97">
        <f t="shared" si="83"/>
        <v>7563619.460289646</v>
      </c>
      <c r="CV23" s="97">
        <f ca="1" t="shared" si="27"/>
        <v>7747148.539372617</v>
      </c>
      <c r="CW23" s="97">
        <f ca="1" t="shared" si="84"/>
        <v>7357950.339682348</v>
      </c>
      <c r="CX23" s="97">
        <f ca="1" t="shared" si="85"/>
        <v>7357950.339682348</v>
      </c>
      <c r="CY23" s="97">
        <f ca="1" t="shared" si="86"/>
        <v>7949433.942664748</v>
      </c>
    </row>
    <row r="24" spans="2:103" ht="12.75">
      <c r="B24" s="14">
        <v>10046</v>
      </c>
      <c r="C24" s="15" t="s">
        <v>23</v>
      </c>
      <c r="D24" s="16">
        <f>RHWM!D11</f>
        <v>0</v>
      </c>
      <c r="E24" s="16">
        <f>RHWM!E11</f>
        <v>1</v>
      </c>
      <c r="F24" s="18">
        <f>RHWM!M11</f>
        <v>98.879</v>
      </c>
      <c r="G24" s="18">
        <f>RHWM!N11</f>
        <v>100.606</v>
      </c>
      <c r="H24" s="18">
        <f>RHWM!O11</f>
        <v>81.851</v>
      </c>
      <c r="I24" s="18">
        <v>17.028</v>
      </c>
      <c r="J24" s="18">
        <v>18.755</v>
      </c>
      <c r="K24" s="18">
        <v>0</v>
      </c>
      <c r="L24" s="18">
        <v>0</v>
      </c>
      <c r="M24" s="18">
        <v>17.028</v>
      </c>
      <c r="N24" s="18">
        <v>18.755</v>
      </c>
      <c r="O24" s="81">
        <f t="shared" si="28"/>
        <v>81.851</v>
      </c>
      <c r="P24" s="63">
        <f t="shared" si="29"/>
        <v>100.606</v>
      </c>
      <c r="Q24" s="63">
        <f t="shared" si="30"/>
        <v>81.851</v>
      </c>
      <c r="R24" s="63">
        <f t="shared" si="31"/>
        <v>18.754999999999995</v>
      </c>
      <c r="S24" s="63">
        <f t="shared" si="32"/>
        <v>0</v>
      </c>
      <c r="T24" s="67">
        <f t="shared" si="6"/>
        <v>39.387118659922976</v>
      </c>
      <c r="U24" s="138">
        <f ca="1" t="shared" si="7"/>
        <v>1.19</v>
      </c>
      <c r="V24" s="66">
        <f ca="1" t="shared" si="8"/>
        <v>119.72113999999999</v>
      </c>
      <c r="W24" s="66">
        <f ca="1" t="shared" si="33"/>
        <v>81.851</v>
      </c>
      <c r="X24" s="66">
        <f ca="1" t="shared" si="34"/>
        <v>37.87013999999999</v>
      </c>
      <c r="Y24" s="63">
        <f ca="1" t="shared" si="35"/>
        <v>0</v>
      </c>
      <c r="Z24" s="67">
        <f ca="1" t="shared" si="9"/>
        <v>43.83270248051664</v>
      </c>
      <c r="AA24" s="68">
        <f ca="1" t="shared" si="10"/>
        <v>0.11286897777361693</v>
      </c>
      <c r="AB24" s="169">
        <f t="shared" si="36"/>
        <v>81.851</v>
      </c>
      <c r="AC24" s="169">
        <f t="shared" si="37"/>
        <v>81.851</v>
      </c>
      <c r="AD24" s="169">
        <v>0.40800000000000003</v>
      </c>
      <c r="AE24" s="171">
        <f t="shared" si="38"/>
        <v>0.20400000000000001</v>
      </c>
      <c r="AF24" s="182">
        <v>0</v>
      </c>
      <c r="AG24" s="182">
        <f t="shared" si="39"/>
        <v>0</v>
      </c>
      <c r="AH24" s="182">
        <f t="shared" si="40"/>
        <v>0</v>
      </c>
      <c r="AI24" s="182">
        <v>0</v>
      </c>
      <c r="AJ24" s="171">
        <f t="shared" si="41"/>
        <v>9.377499999999998</v>
      </c>
      <c r="AK24" s="171">
        <f t="shared" si="42"/>
        <v>91.43249999999999</v>
      </c>
      <c r="AL24" s="171">
        <f t="shared" si="43"/>
        <v>5.835040869760608</v>
      </c>
      <c r="AM24" s="171">
        <f t="shared" si="44"/>
        <v>97.2675408697606</v>
      </c>
      <c r="AN24" s="81">
        <f t="shared" si="45"/>
        <v>97.2675408697606</v>
      </c>
      <c r="AO24" s="63">
        <f t="shared" si="46"/>
        <v>100.606</v>
      </c>
      <c r="AP24" s="63">
        <f t="shared" si="47"/>
        <v>97.2675408697606</v>
      </c>
      <c r="AQ24" s="63">
        <f t="shared" si="48"/>
        <v>3.3384591302394</v>
      </c>
      <c r="AR24" s="63">
        <f t="shared" si="49"/>
        <v>0</v>
      </c>
      <c r="AS24" s="67">
        <f t="shared" si="11"/>
        <v>36.490378977210405</v>
      </c>
      <c r="AT24" s="65">
        <f ca="1" t="shared" si="12"/>
        <v>1.19</v>
      </c>
      <c r="AU24" s="66">
        <f ca="1" t="shared" si="50"/>
        <v>119.72113999999999</v>
      </c>
      <c r="AV24" s="66">
        <f ca="1" t="shared" si="51"/>
        <v>97.2675408697606</v>
      </c>
      <c r="AW24" s="66">
        <f ca="1" t="shared" si="52"/>
        <v>22.453599130239397</v>
      </c>
      <c r="AX24" s="63">
        <f ca="1" t="shared" si="53"/>
        <v>0</v>
      </c>
      <c r="AY24" s="67">
        <f ca="1" t="shared" si="13"/>
        <v>41.39531889410186</v>
      </c>
      <c r="AZ24" s="65">
        <f ca="1" t="shared" si="54"/>
        <v>0.1344173465546843</v>
      </c>
      <c r="BA24" s="68">
        <f ca="1" t="shared" si="14"/>
        <v>-0.05560650948907786</v>
      </c>
      <c r="BB24" s="169">
        <f t="shared" si="55"/>
        <v>81.851</v>
      </c>
      <c r="BC24" s="169">
        <f t="shared" si="56"/>
        <v>81.851</v>
      </c>
      <c r="BD24" s="169">
        <v>0.40800000000000003</v>
      </c>
      <c r="BE24" s="171">
        <f t="shared" si="57"/>
        <v>0.20400000000000001</v>
      </c>
      <c r="BF24" s="182">
        <v>0</v>
      </c>
      <c r="BG24" s="182">
        <f t="shared" si="58"/>
        <v>0</v>
      </c>
      <c r="BH24" s="182">
        <f t="shared" si="59"/>
        <v>0</v>
      </c>
      <c r="BI24" s="169">
        <f t="shared" si="60"/>
        <v>4.688749999999999</v>
      </c>
      <c r="BJ24" s="171">
        <f t="shared" si="61"/>
        <v>86.74374999999999</v>
      </c>
      <c r="BK24" s="171">
        <f t="shared" si="62"/>
        <v>1.6642986154276163</v>
      </c>
      <c r="BL24" s="171">
        <f t="shared" si="63"/>
        <v>88.4080486154276</v>
      </c>
      <c r="BM24" s="81">
        <f t="shared" si="64"/>
        <v>88.4080486154276</v>
      </c>
      <c r="BN24" s="63">
        <f t="shared" si="15"/>
        <v>100.606</v>
      </c>
      <c r="BO24" s="63">
        <f t="shared" si="65"/>
        <v>88.4080486154276</v>
      </c>
      <c r="BP24" s="63">
        <f t="shared" si="66"/>
        <v>12.197951384572391</v>
      </c>
      <c r="BQ24" s="63">
        <f t="shared" si="67"/>
        <v>0</v>
      </c>
      <c r="BR24" s="67">
        <f t="shared" si="68"/>
        <v>38.22571071062286</v>
      </c>
      <c r="BS24" s="69">
        <f ca="1" t="shared" si="16"/>
        <v>1.19</v>
      </c>
      <c r="BT24" s="66">
        <f ca="1" t="shared" si="69"/>
        <v>119.72113999999999</v>
      </c>
      <c r="BU24" s="66">
        <f ca="1" t="shared" si="70"/>
        <v>88.4080486154276</v>
      </c>
      <c r="BV24" s="66">
        <f ca="1" t="shared" si="71"/>
        <v>31.313091384572388</v>
      </c>
      <c r="BW24" s="63">
        <f ca="1" t="shared" si="72"/>
        <v>0</v>
      </c>
      <c r="BX24" s="67">
        <f ca="1" t="shared" si="17"/>
        <v>42.397626693432485</v>
      </c>
      <c r="BY24" s="65">
        <f ca="1" t="shared" si="73"/>
        <v>0.10913900370334395</v>
      </c>
      <c r="BZ24" s="68">
        <f ca="1" t="shared" si="18"/>
        <v>-0.03273984276287856</v>
      </c>
      <c r="CA24" s="81">
        <f t="shared" si="74"/>
        <v>100.606</v>
      </c>
      <c r="CB24" s="63">
        <f t="shared" si="75"/>
        <v>100.606</v>
      </c>
      <c r="CC24" s="67">
        <f t="shared" si="76"/>
        <v>35.90132553133049</v>
      </c>
      <c r="CD24" s="69">
        <f ca="1" t="shared" si="19"/>
        <v>1.19</v>
      </c>
      <c r="CE24" s="190">
        <f ca="1" t="shared" si="77"/>
        <v>119.72113999999999</v>
      </c>
      <c r="CF24" s="70">
        <f ca="1" t="shared" si="78"/>
        <v>119.72113999999999</v>
      </c>
      <c r="CG24" s="67">
        <f ca="1" t="shared" si="79"/>
        <v>39.30481757441425</v>
      </c>
      <c r="CH24" s="65">
        <f ca="1" t="shared" si="80"/>
        <v>0.09480129194989151</v>
      </c>
      <c r="CI24" s="65">
        <f ca="1" t="shared" si="20"/>
        <v>-0.10329924120272993</v>
      </c>
      <c r="CJ24" s="68">
        <f ca="1" t="shared" si="81"/>
        <v>-0.07294769448727934</v>
      </c>
      <c r="CL24" s="97">
        <f ca="1" t="shared" si="21"/>
        <v>45969861.72577492</v>
      </c>
      <c r="CM24" s="97">
        <f ca="1" t="shared" si="22"/>
        <v>43413638.17350902</v>
      </c>
      <c r="CN24" s="97">
        <f ca="1" t="shared" si="23"/>
        <v>44464815.68104178</v>
      </c>
      <c r="CO24" s="97">
        <f ca="1" t="shared" si="82"/>
        <v>41221209.891307965</v>
      </c>
      <c r="CQ24" s="97">
        <f t="shared" si="24"/>
        <v>34712204.828725845</v>
      </c>
      <c r="CR24" s="97">
        <f t="shared" si="25"/>
        <v>32159283.35025957</v>
      </c>
      <c r="CS24" s="97">
        <f t="shared" si="26"/>
        <v>33688646.06135561</v>
      </c>
      <c r="CT24" s="97">
        <f t="shared" si="83"/>
        <v>31640145.50610811</v>
      </c>
      <c r="CV24" s="97">
        <f ca="1" t="shared" si="27"/>
        <v>45969861.72577493</v>
      </c>
      <c r="CW24" s="97">
        <f ca="1" t="shared" si="84"/>
        <v>43413638.173509024</v>
      </c>
      <c r="CX24" s="97">
        <f ca="1" t="shared" si="85"/>
        <v>43413638.173509024</v>
      </c>
      <c r="CY24" s="97">
        <f ca="1" t="shared" si="86"/>
        <v>41221209.89130796</v>
      </c>
    </row>
    <row r="25" spans="2:103" ht="12.75">
      <c r="B25" s="14">
        <v>10047</v>
      </c>
      <c r="C25" s="15" t="s">
        <v>24</v>
      </c>
      <c r="D25" s="16">
        <f>RHWM!D12</f>
        <v>1</v>
      </c>
      <c r="E25" s="16">
        <f>RHWM!E12</f>
        <v>0</v>
      </c>
      <c r="F25" s="18">
        <f>RHWM!M12</f>
        <v>152.313</v>
      </c>
      <c r="G25" s="18">
        <f>RHWM!N12</f>
        <v>152.465</v>
      </c>
      <c r="H25" s="18">
        <f>RHWM!O12</f>
        <v>156.673</v>
      </c>
      <c r="I25" s="18">
        <v>0</v>
      </c>
      <c r="J25" s="18">
        <v>0</v>
      </c>
      <c r="K25" s="18">
        <v>0</v>
      </c>
      <c r="L25" s="18">
        <v>0</v>
      </c>
      <c r="M25" s="18">
        <v>0</v>
      </c>
      <c r="N25" s="18">
        <v>0</v>
      </c>
      <c r="O25" s="81">
        <f t="shared" si="28"/>
        <v>156.673</v>
      </c>
      <c r="P25" s="63">
        <f t="shared" si="29"/>
        <v>152.465</v>
      </c>
      <c r="Q25" s="63">
        <f t="shared" si="30"/>
        <v>152.465</v>
      </c>
      <c r="R25" s="63">
        <f t="shared" si="31"/>
        <v>0</v>
      </c>
      <c r="S25" s="63">
        <f t="shared" si="32"/>
        <v>4.207999999999998</v>
      </c>
      <c r="T25" s="67">
        <f t="shared" si="6"/>
        <v>33.949064274110405</v>
      </c>
      <c r="U25" s="138">
        <f ca="1" t="shared" si="7"/>
        <v>1.13</v>
      </c>
      <c r="V25" s="66">
        <f ca="1" t="shared" si="8"/>
        <v>172.28545</v>
      </c>
      <c r="W25" s="66">
        <f ca="1" t="shared" si="33"/>
        <v>156.673</v>
      </c>
      <c r="X25" s="66">
        <f ca="1" t="shared" si="34"/>
        <v>15.612449999999995</v>
      </c>
      <c r="Y25" s="63">
        <f ca="1" t="shared" si="35"/>
        <v>0</v>
      </c>
      <c r="Z25" s="67">
        <f ca="1" t="shared" si="9"/>
        <v>37.46548601183434</v>
      </c>
      <c r="AA25" s="68">
        <f ca="1" t="shared" si="10"/>
        <v>0.10357934196158558</v>
      </c>
      <c r="AB25" s="169">
        <f t="shared" si="36"/>
        <v>152.465</v>
      </c>
      <c r="AC25" s="169">
        <f t="shared" si="37"/>
        <v>152.465</v>
      </c>
      <c r="AD25" s="169">
        <v>0.22100000000000003</v>
      </c>
      <c r="AE25" s="171">
        <f t="shared" si="38"/>
        <v>0.11050000000000001</v>
      </c>
      <c r="AF25" s="182">
        <v>0</v>
      </c>
      <c r="AG25" s="182">
        <f t="shared" si="39"/>
        <v>0</v>
      </c>
      <c r="AH25" s="182">
        <f t="shared" si="40"/>
        <v>0</v>
      </c>
      <c r="AI25" s="182">
        <v>0</v>
      </c>
      <c r="AJ25" s="171">
        <f t="shared" si="41"/>
        <v>0</v>
      </c>
      <c r="AK25" s="171">
        <f t="shared" si="42"/>
        <v>152.5755</v>
      </c>
      <c r="AL25" s="171">
        <f t="shared" si="43"/>
        <v>9.737065903526206</v>
      </c>
      <c r="AM25" s="171">
        <f t="shared" si="44"/>
        <v>162.3125659035262</v>
      </c>
      <c r="AN25" s="81">
        <f t="shared" si="45"/>
        <v>162.3125659035262</v>
      </c>
      <c r="AO25" s="63">
        <f t="shared" si="46"/>
        <v>152.465</v>
      </c>
      <c r="AP25" s="63">
        <f t="shared" si="47"/>
        <v>152.465</v>
      </c>
      <c r="AQ25" s="63">
        <f t="shared" si="48"/>
        <v>0</v>
      </c>
      <c r="AR25" s="63">
        <f t="shared" si="49"/>
        <v>9.847565903526203</v>
      </c>
      <c r="AS25" s="67">
        <f t="shared" si="11"/>
        <v>35.5763854636149</v>
      </c>
      <c r="AT25" s="65">
        <f ca="1" t="shared" si="12"/>
        <v>1.13</v>
      </c>
      <c r="AU25" s="66">
        <f ca="1" t="shared" si="50"/>
        <v>172.28545</v>
      </c>
      <c r="AV25" s="66">
        <f ca="1" t="shared" si="51"/>
        <v>162.3125659035262</v>
      </c>
      <c r="AW25" s="66">
        <f ca="1" t="shared" si="52"/>
        <v>9.972884096473791</v>
      </c>
      <c r="AX25" s="63">
        <f ca="1" t="shared" si="53"/>
        <v>0</v>
      </c>
      <c r="AY25" s="67">
        <f ca="1" t="shared" si="13"/>
        <v>37.928161735253305</v>
      </c>
      <c r="AZ25" s="65">
        <f ca="1" t="shared" si="54"/>
        <v>0.06610498062102588</v>
      </c>
      <c r="BA25" s="68">
        <f ca="1" t="shared" si="14"/>
        <v>0.012349385332218077</v>
      </c>
      <c r="BB25" s="169">
        <f t="shared" si="55"/>
        <v>152.465</v>
      </c>
      <c r="BC25" s="169">
        <f t="shared" si="56"/>
        <v>152.465</v>
      </c>
      <c r="BD25" s="169">
        <v>0.22100000000000003</v>
      </c>
      <c r="BE25" s="171">
        <f t="shared" si="57"/>
        <v>0.11050000000000001</v>
      </c>
      <c r="BF25" s="182">
        <v>0</v>
      </c>
      <c r="BG25" s="182">
        <f t="shared" si="58"/>
        <v>0</v>
      </c>
      <c r="BH25" s="182">
        <f t="shared" si="59"/>
        <v>0</v>
      </c>
      <c r="BI25" s="169">
        <f t="shared" si="60"/>
        <v>0</v>
      </c>
      <c r="BJ25" s="171">
        <f t="shared" si="61"/>
        <v>152.5755</v>
      </c>
      <c r="BK25" s="171">
        <f t="shared" si="62"/>
        <v>2.927371636552216</v>
      </c>
      <c r="BL25" s="171">
        <f t="shared" si="63"/>
        <v>155.50287163655221</v>
      </c>
      <c r="BM25" s="81">
        <f t="shared" si="64"/>
        <v>155.50287163655221</v>
      </c>
      <c r="BN25" s="63">
        <f t="shared" si="15"/>
        <v>152.465</v>
      </c>
      <c r="BO25" s="63">
        <f t="shared" si="65"/>
        <v>152.465</v>
      </c>
      <c r="BP25" s="63">
        <f t="shared" si="66"/>
        <v>0</v>
      </c>
      <c r="BQ25" s="63">
        <f t="shared" si="67"/>
        <v>3.037871636552211</v>
      </c>
      <c r="BR25" s="67">
        <f t="shared" si="68"/>
        <v>34.790963136607154</v>
      </c>
      <c r="BS25" s="69">
        <f ca="1" t="shared" si="16"/>
        <v>1.13</v>
      </c>
      <c r="BT25" s="66">
        <f ca="1" t="shared" si="69"/>
        <v>172.28545</v>
      </c>
      <c r="BU25" s="66">
        <f ca="1" t="shared" si="70"/>
        <v>155.50287163655221</v>
      </c>
      <c r="BV25" s="66">
        <f ca="1" t="shared" si="71"/>
        <v>16.782578363447783</v>
      </c>
      <c r="BW25" s="63">
        <f ca="1" t="shared" si="72"/>
        <v>0</v>
      </c>
      <c r="BX25" s="67">
        <f ca="1" t="shared" si="17"/>
        <v>37.79156572695549</v>
      </c>
      <c r="BY25" s="65">
        <f ca="1" t="shared" si="73"/>
        <v>0.08624660888422175</v>
      </c>
      <c r="BZ25" s="68">
        <f ca="1" t="shared" si="18"/>
        <v>0.008703469508393846</v>
      </c>
      <c r="CA25" s="81">
        <f t="shared" si="74"/>
        <v>152.465</v>
      </c>
      <c r="CB25" s="63">
        <f t="shared" si="75"/>
        <v>152.465</v>
      </c>
      <c r="CC25" s="67">
        <f t="shared" si="76"/>
        <v>35.90132553133049</v>
      </c>
      <c r="CD25" s="69">
        <f ca="1" t="shared" si="19"/>
        <v>1.13</v>
      </c>
      <c r="CE25" s="190">
        <f ca="1" t="shared" si="77"/>
        <v>172.28545</v>
      </c>
      <c r="CF25" s="70">
        <f ca="1" t="shared" si="78"/>
        <v>172.28545</v>
      </c>
      <c r="CG25" s="67">
        <f ca="1" t="shared" si="79"/>
        <v>39.30481757441425</v>
      </c>
      <c r="CH25" s="65">
        <f ca="1" t="shared" si="80"/>
        <v>0.09480129194989151</v>
      </c>
      <c r="CI25" s="65">
        <f ca="1" t="shared" si="20"/>
        <v>0.04909402648610839</v>
      </c>
      <c r="CJ25" s="68">
        <f ca="1" t="shared" si="81"/>
        <v>0.04004205219736123</v>
      </c>
      <c r="CL25" s="97">
        <f ca="1" t="shared" si="21"/>
        <v>56543681.10507403</v>
      </c>
      <c r="CM25" s="97">
        <f ca="1" t="shared" si="22"/>
        <v>57241960.811142646</v>
      </c>
      <c r="CN25" s="97">
        <f ca="1" t="shared" si="23"/>
        <v>57035807.309464395</v>
      </c>
      <c r="CO25" s="97">
        <f ca="1" t="shared" si="82"/>
        <v>59319638.0828686</v>
      </c>
      <c r="CQ25" s="97">
        <f t="shared" si="24"/>
        <v>45342146.18067765</v>
      </c>
      <c r="CR25" s="97">
        <f t="shared" si="25"/>
        <v>47515585.62106</v>
      </c>
      <c r="CS25" s="97">
        <f t="shared" si="26"/>
        <v>46466580.744895816</v>
      </c>
      <c r="CT25" s="97">
        <f t="shared" si="83"/>
        <v>47949573.430896506</v>
      </c>
      <c r="CV25" s="97">
        <f ca="1" t="shared" si="27"/>
        <v>56543681.10507403</v>
      </c>
      <c r="CW25" s="97">
        <f ca="1" t="shared" si="84"/>
        <v>57241960.81114265</v>
      </c>
      <c r="CX25" s="97">
        <f ca="1" t="shared" si="85"/>
        <v>57241960.81114265</v>
      </c>
      <c r="CY25" s="97">
        <f ca="1" t="shared" si="86"/>
        <v>59319638.0828686</v>
      </c>
    </row>
    <row r="26" spans="2:103" ht="12.75">
      <c r="B26" s="14">
        <v>10055</v>
      </c>
      <c r="C26" s="15" t="s">
        <v>25</v>
      </c>
      <c r="D26" s="16">
        <f>RHWM!D13</f>
        <v>1</v>
      </c>
      <c r="E26" s="16">
        <f>RHWM!E13</f>
        <v>0</v>
      </c>
      <c r="F26" s="18">
        <f>RHWM!M13</f>
        <v>0.391</v>
      </c>
      <c r="G26" s="18">
        <f>RHWM!N13</f>
        <v>0.39</v>
      </c>
      <c r="H26" s="18">
        <f>RHWM!O13</f>
        <v>0.398</v>
      </c>
      <c r="I26" s="18">
        <v>0</v>
      </c>
      <c r="J26" s="18">
        <v>0</v>
      </c>
      <c r="K26" s="18">
        <v>0</v>
      </c>
      <c r="L26" s="18">
        <v>0</v>
      </c>
      <c r="M26" s="18">
        <v>0</v>
      </c>
      <c r="N26" s="18">
        <v>0</v>
      </c>
      <c r="O26" s="81">
        <f t="shared" si="28"/>
        <v>0.398</v>
      </c>
      <c r="P26" s="63">
        <f t="shared" si="29"/>
        <v>0.39</v>
      </c>
      <c r="Q26" s="63">
        <f t="shared" si="30"/>
        <v>0.39</v>
      </c>
      <c r="R26" s="63">
        <f t="shared" si="31"/>
        <v>0</v>
      </c>
      <c r="S26" s="63">
        <f t="shared" si="32"/>
        <v>0.008000000000000007</v>
      </c>
      <c r="T26" s="67">
        <f t="shared" si="6"/>
        <v>33.949064274110405</v>
      </c>
      <c r="U26" s="138">
        <f ca="1" t="shared" si="7"/>
        <v>1.03</v>
      </c>
      <c r="V26" s="66">
        <f ca="1" t="shared" si="8"/>
        <v>0.4017</v>
      </c>
      <c r="W26" s="66">
        <f ca="1" t="shared" si="33"/>
        <v>0.398</v>
      </c>
      <c r="X26" s="66">
        <f ca="1" t="shared" si="34"/>
        <v>0.003699999999999981</v>
      </c>
      <c r="Y26" s="63">
        <f ca="1" t="shared" si="35"/>
        <v>0</v>
      </c>
      <c r="Z26" s="67">
        <f ca="1" t="shared" si="9"/>
        <v>35.1688633096762</v>
      </c>
      <c r="AA26" s="68">
        <f ca="1" t="shared" si="10"/>
        <v>0.03593026970395807</v>
      </c>
      <c r="AB26" s="169">
        <f t="shared" si="36"/>
        <v>0.39</v>
      </c>
      <c r="AC26" s="169">
        <f t="shared" si="37"/>
        <v>0.78</v>
      </c>
      <c r="AD26" s="169">
        <v>0</v>
      </c>
      <c r="AE26" s="171">
        <f t="shared" si="38"/>
        <v>0</v>
      </c>
      <c r="AF26" s="182">
        <v>0</v>
      </c>
      <c r="AG26" s="182">
        <f t="shared" si="39"/>
        <v>0</v>
      </c>
      <c r="AH26" s="182">
        <f t="shared" si="40"/>
        <v>0</v>
      </c>
      <c r="AI26" s="182">
        <v>0</v>
      </c>
      <c r="AJ26" s="171">
        <f t="shared" si="41"/>
        <v>0</v>
      </c>
      <c r="AK26" s="171">
        <f t="shared" si="42"/>
        <v>0.78</v>
      </c>
      <c r="AL26" s="171">
        <f t="shared" si="43"/>
        <v>0.04977805351940804</v>
      </c>
      <c r="AM26" s="171">
        <f t="shared" si="44"/>
        <v>0.829778053519408</v>
      </c>
      <c r="AN26" s="81">
        <f t="shared" si="45"/>
        <v>0.829778053519408</v>
      </c>
      <c r="AO26" s="63">
        <f t="shared" si="46"/>
        <v>0.39</v>
      </c>
      <c r="AP26" s="63">
        <f t="shared" si="47"/>
        <v>0.39</v>
      </c>
      <c r="AQ26" s="63">
        <f t="shared" si="48"/>
        <v>0</v>
      </c>
      <c r="AR26" s="63">
        <f t="shared" si="49"/>
        <v>0.439778053519408</v>
      </c>
      <c r="AS26" s="67">
        <f t="shared" si="11"/>
        <v>35.5763854636149</v>
      </c>
      <c r="AT26" s="65">
        <f ca="1" t="shared" si="12"/>
        <v>1.03</v>
      </c>
      <c r="AU26" s="66">
        <f ca="1" t="shared" si="50"/>
        <v>0.4017</v>
      </c>
      <c r="AV26" s="66">
        <f ca="1" t="shared" si="51"/>
        <v>0.4017</v>
      </c>
      <c r="AW26" s="66">
        <f ca="1" t="shared" si="52"/>
        <v>0</v>
      </c>
      <c r="AX26" s="63">
        <f ca="1" t="shared" si="53"/>
        <v>0.42807805351940803</v>
      </c>
      <c r="AY26" s="67">
        <f ca="1" t="shared" si="13"/>
        <v>36.38031310262951</v>
      </c>
      <c r="AZ26" s="65">
        <f ca="1" t="shared" si="54"/>
        <v>0.0225972264618286</v>
      </c>
      <c r="BA26" s="68">
        <f ca="1" t="shared" si="14"/>
        <v>0.03444665760977261</v>
      </c>
      <c r="BB26" s="169">
        <f t="shared" si="55"/>
        <v>0.39</v>
      </c>
      <c r="BC26" s="169">
        <f t="shared" si="56"/>
        <v>0.78</v>
      </c>
      <c r="BD26" s="169">
        <v>0</v>
      </c>
      <c r="BE26" s="171">
        <f t="shared" si="57"/>
        <v>0</v>
      </c>
      <c r="BF26" s="182">
        <v>0</v>
      </c>
      <c r="BG26" s="182">
        <f t="shared" si="58"/>
        <v>0</v>
      </c>
      <c r="BH26" s="182">
        <f t="shared" si="59"/>
        <v>0</v>
      </c>
      <c r="BI26" s="169">
        <f t="shared" si="60"/>
        <v>0</v>
      </c>
      <c r="BJ26" s="171">
        <f t="shared" si="61"/>
        <v>0.78</v>
      </c>
      <c r="BK26" s="171">
        <f t="shared" si="62"/>
        <v>0.014965376987201278</v>
      </c>
      <c r="BL26" s="171">
        <f t="shared" si="63"/>
        <v>0.7949653769872013</v>
      </c>
      <c r="BM26" s="81">
        <f t="shared" si="64"/>
        <v>0.7949653769872013</v>
      </c>
      <c r="BN26" s="63">
        <f t="shared" si="15"/>
        <v>0.39</v>
      </c>
      <c r="BO26" s="63">
        <f t="shared" si="65"/>
        <v>0.39</v>
      </c>
      <c r="BP26" s="63">
        <f t="shared" si="66"/>
        <v>0</v>
      </c>
      <c r="BQ26" s="63">
        <f t="shared" si="67"/>
        <v>0.40496537698720125</v>
      </c>
      <c r="BR26" s="67">
        <f t="shared" si="68"/>
        <v>34.790963136607154</v>
      </c>
      <c r="BS26" s="69">
        <f ca="1" t="shared" si="16"/>
        <v>1.03</v>
      </c>
      <c r="BT26" s="66">
        <f ca="1" t="shared" si="69"/>
        <v>0.4017</v>
      </c>
      <c r="BU26" s="66">
        <f ca="1" t="shared" si="70"/>
        <v>0.4017</v>
      </c>
      <c r="BV26" s="66">
        <f ca="1" t="shared" si="71"/>
        <v>0</v>
      </c>
      <c r="BW26" s="63">
        <f ca="1" t="shared" si="72"/>
        <v>0.39326537698720127</v>
      </c>
      <c r="BX26" s="67">
        <f ca="1" t="shared" si="17"/>
        <v>35.05800570624853</v>
      </c>
      <c r="BY26" s="65">
        <f ca="1" t="shared" si="73"/>
        <v>0.007675630266193778</v>
      </c>
      <c r="BZ26" s="68">
        <f ca="1" t="shared" si="18"/>
        <v>-0.0031521520172977935</v>
      </c>
      <c r="CA26" s="81">
        <f t="shared" si="74"/>
        <v>0.39</v>
      </c>
      <c r="CB26" s="63">
        <f t="shared" si="75"/>
        <v>0.39</v>
      </c>
      <c r="CC26" s="67">
        <f t="shared" si="76"/>
        <v>35.90132553133049</v>
      </c>
      <c r="CD26" s="69">
        <f ca="1" t="shared" si="19"/>
        <v>1.03</v>
      </c>
      <c r="CE26" s="190">
        <f ca="1" t="shared" si="77"/>
        <v>0.4017</v>
      </c>
      <c r="CF26" s="70">
        <f ca="1" t="shared" si="78"/>
        <v>0.4017</v>
      </c>
      <c r="CG26" s="67">
        <f ca="1" t="shared" si="79"/>
        <v>39.30481757441425</v>
      </c>
      <c r="CH26" s="65">
        <f ca="1" t="shared" si="80"/>
        <v>0.09480129194989151</v>
      </c>
      <c r="CI26" s="65">
        <f ca="1" t="shared" si="20"/>
        <v>0.11760272796761417</v>
      </c>
      <c r="CJ26" s="68">
        <f ca="1" t="shared" si="81"/>
        <v>0.12113672134546993</v>
      </c>
      <c r="CL26" s="97">
        <f ca="1" t="shared" si="21"/>
        <v>123755.4317495131</v>
      </c>
      <c r="CM26" s="97">
        <f ca="1" t="shared" si="22"/>
        <v>128018.39273433815</v>
      </c>
      <c r="CN26" s="97">
        <f ca="1" t="shared" si="23"/>
        <v>123365.3358156723</v>
      </c>
      <c r="CO26" s="97">
        <f ca="1" t="shared" si="82"/>
        <v>138309.40812406573</v>
      </c>
      <c r="CQ26" s="97">
        <f t="shared" si="24"/>
        <v>115983.5831860708</v>
      </c>
      <c r="CR26" s="97">
        <f t="shared" si="25"/>
        <v>121543.16329789395</v>
      </c>
      <c r="CS26" s="97">
        <f t="shared" si="26"/>
        <v>118859.84645990469</v>
      </c>
      <c r="CT26" s="97">
        <f t="shared" si="83"/>
        <v>122653.28854523749</v>
      </c>
      <c r="CV26" s="97">
        <f ca="1" t="shared" si="27"/>
        <v>123755.4317495131</v>
      </c>
      <c r="CW26" s="97">
        <f ca="1" t="shared" si="84"/>
        <v>128018.39273433815</v>
      </c>
      <c r="CX26" s="97">
        <f ca="1" t="shared" si="85"/>
        <v>128018.39273433815</v>
      </c>
      <c r="CY26" s="97">
        <f ca="1" t="shared" si="86"/>
        <v>138309.4081240657</v>
      </c>
    </row>
    <row r="27" spans="2:103" ht="12.75">
      <c r="B27" s="14">
        <v>10057</v>
      </c>
      <c r="C27" s="15" t="s">
        <v>26</v>
      </c>
      <c r="D27" s="16">
        <f>RHWM!D14</f>
        <v>1</v>
      </c>
      <c r="E27" s="16">
        <f>RHWM!E14</f>
        <v>0</v>
      </c>
      <c r="F27" s="18">
        <f>RHWM!M14</f>
        <v>19.994</v>
      </c>
      <c r="G27" s="18">
        <f>RHWM!N14</f>
        <v>19.99</v>
      </c>
      <c r="H27" s="18">
        <f>RHWM!O14</f>
        <v>21.069</v>
      </c>
      <c r="I27" s="18">
        <v>0</v>
      </c>
      <c r="J27" s="18">
        <v>0</v>
      </c>
      <c r="K27" s="18">
        <v>0</v>
      </c>
      <c r="L27" s="18">
        <v>0</v>
      </c>
      <c r="M27" s="18">
        <v>0</v>
      </c>
      <c r="N27" s="18">
        <v>0</v>
      </c>
      <c r="O27" s="81">
        <f t="shared" si="28"/>
        <v>21.069</v>
      </c>
      <c r="P27" s="63">
        <f t="shared" si="29"/>
        <v>19.99</v>
      </c>
      <c r="Q27" s="63">
        <f t="shared" si="30"/>
        <v>19.99</v>
      </c>
      <c r="R27" s="63">
        <f t="shared" si="31"/>
        <v>0</v>
      </c>
      <c r="S27" s="63">
        <f t="shared" si="32"/>
        <v>1.0790000000000006</v>
      </c>
      <c r="T27" s="67">
        <f t="shared" si="6"/>
        <v>33.949064274110405</v>
      </c>
      <c r="U27" s="138">
        <f ca="1" t="shared" si="7"/>
        <v>0.98</v>
      </c>
      <c r="V27" s="66">
        <f ca="1" t="shared" si="8"/>
        <v>19.5902</v>
      </c>
      <c r="W27" s="66">
        <f ca="1" t="shared" si="33"/>
        <v>19.5902</v>
      </c>
      <c r="X27" s="66">
        <f ca="1" t="shared" si="34"/>
        <v>0</v>
      </c>
      <c r="Y27" s="63">
        <f ca="1" t="shared" si="35"/>
        <v>1.4787999999999997</v>
      </c>
      <c r="Z27" s="67">
        <f ca="1" t="shared" si="9"/>
        <v>34.90901605903751</v>
      </c>
      <c r="AA27" s="68">
        <f ca="1" t="shared" si="10"/>
        <v>0.028276236928838294</v>
      </c>
      <c r="AB27" s="169">
        <f t="shared" si="36"/>
        <v>19.99</v>
      </c>
      <c r="AC27" s="169">
        <f t="shared" si="37"/>
        <v>19.99</v>
      </c>
      <c r="AD27" s="169">
        <v>0</v>
      </c>
      <c r="AE27" s="171">
        <f t="shared" si="38"/>
        <v>0</v>
      </c>
      <c r="AF27" s="182">
        <v>0</v>
      </c>
      <c r="AG27" s="182">
        <f t="shared" si="39"/>
        <v>0</v>
      </c>
      <c r="AH27" s="182">
        <f t="shared" si="40"/>
        <v>0</v>
      </c>
      <c r="AI27" s="182">
        <v>0</v>
      </c>
      <c r="AJ27" s="171">
        <f t="shared" si="41"/>
        <v>0</v>
      </c>
      <c r="AK27" s="171">
        <f t="shared" si="42"/>
        <v>19.99</v>
      </c>
      <c r="AL27" s="171">
        <f t="shared" si="43"/>
        <v>1.2757221664781622</v>
      </c>
      <c r="AM27" s="171">
        <f t="shared" si="44"/>
        <v>21.26572216647816</v>
      </c>
      <c r="AN27" s="81">
        <f t="shared" si="45"/>
        <v>21.26572216647816</v>
      </c>
      <c r="AO27" s="63">
        <f t="shared" si="46"/>
        <v>19.99</v>
      </c>
      <c r="AP27" s="63">
        <f t="shared" si="47"/>
        <v>19.99</v>
      </c>
      <c r="AQ27" s="63">
        <f t="shared" si="48"/>
        <v>0</v>
      </c>
      <c r="AR27" s="63">
        <f t="shared" si="49"/>
        <v>1.275722166478161</v>
      </c>
      <c r="AS27" s="67">
        <f t="shared" si="11"/>
        <v>35.5763854636149</v>
      </c>
      <c r="AT27" s="65">
        <f ca="1" t="shared" si="12"/>
        <v>0.98</v>
      </c>
      <c r="AU27" s="66">
        <f ca="1" t="shared" si="50"/>
        <v>19.5902</v>
      </c>
      <c r="AV27" s="66">
        <f ca="1" t="shared" si="51"/>
        <v>19.5902</v>
      </c>
      <c r="AW27" s="66">
        <f ca="1" t="shared" si="52"/>
        <v>0</v>
      </c>
      <c r="AX27" s="63">
        <f ca="1" t="shared" si="53"/>
        <v>1.67552216647816</v>
      </c>
      <c r="AY27" s="67">
        <f ca="1" t="shared" si="13"/>
        <v>36.38031310262951</v>
      </c>
      <c r="AZ27" s="65">
        <f ca="1" t="shared" si="54"/>
        <v>0.0225972264618286</v>
      </c>
      <c r="BA27" s="68">
        <f ca="1" t="shared" si="14"/>
        <v>0.0421466202629075</v>
      </c>
      <c r="BB27" s="169">
        <f t="shared" si="55"/>
        <v>19.99</v>
      </c>
      <c r="BC27" s="169">
        <f t="shared" si="56"/>
        <v>19.99</v>
      </c>
      <c r="BD27" s="169">
        <v>0</v>
      </c>
      <c r="BE27" s="171">
        <f t="shared" si="57"/>
        <v>0</v>
      </c>
      <c r="BF27" s="182">
        <v>0</v>
      </c>
      <c r="BG27" s="182">
        <f t="shared" si="58"/>
        <v>0</v>
      </c>
      <c r="BH27" s="182">
        <f t="shared" si="59"/>
        <v>0</v>
      </c>
      <c r="BI27" s="169">
        <f t="shared" si="60"/>
        <v>0</v>
      </c>
      <c r="BJ27" s="171">
        <f t="shared" si="61"/>
        <v>19.99</v>
      </c>
      <c r="BK27" s="171">
        <f t="shared" si="62"/>
        <v>0.38353575124891476</v>
      </c>
      <c r="BL27" s="171">
        <f t="shared" si="63"/>
        <v>20.373535751248912</v>
      </c>
      <c r="BM27" s="81">
        <f t="shared" si="64"/>
        <v>20.373535751248912</v>
      </c>
      <c r="BN27" s="63">
        <f t="shared" si="15"/>
        <v>19.99</v>
      </c>
      <c r="BO27" s="63">
        <f t="shared" si="65"/>
        <v>19.99</v>
      </c>
      <c r="BP27" s="63">
        <f t="shared" si="66"/>
        <v>0</v>
      </c>
      <c r="BQ27" s="63">
        <f t="shared" si="67"/>
        <v>0.3835357512489139</v>
      </c>
      <c r="BR27" s="67">
        <f t="shared" si="68"/>
        <v>34.790963136607154</v>
      </c>
      <c r="BS27" s="69">
        <f ca="1" t="shared" si="16"/>
        <v>0.98</v>
      </c>
      <c r="BT27" s="66">
        <f ca="1" t="shared" si="69"/>
        <v>19.5902</v>
      </c>
      <c r="BU27" s="66">
        <f ca="1" t="shared" si="70"/>
        <v>19.5902</v>
      </c>
      <c r="BV27" s="66">
        <f ca="1" t="shared" si="71"/>
        <v>0</v>
      </c>
      <c r="BW27" s="63">
        <f ca="1" t="shared" si="72"/>
        <v>0.783335751248913</v>
      </c>
      <c r="BX27" s="67">
        <f ca="1" t="shared" si="17"/>
        <v>35.05800570624853</v>
      </c>
      <c r="BY27" s="65">
        <f ca="1" t="shared" si="73"/>
        <v>0.007675630266193778</v>
      </c>
      <c r="BZ27" s="68">
        <f ca="1" t="shared" si="18"/>
        <v>0.0042679417534727815</v>
      </c>
      <c r="CA27" s="81">
        <f t="shared" si="74"/>
        <v>19.99</v>
      </c>
      <c r="CB27" s="63">
        <f t="shared" si="75"/>
        <v>19.99</v>
      </c>
      <c r="CC27" s="67">
        <f t="shared" si="76"/>
        <v>35.90132553133049</v>
      </c>
      <c r="CD27" s="69">
        <f ca="1" t="shared" si="19"/>
        <v>0.98</v>
      </c>
      <c r="CE27" s="190">
        <f ca="1" t="shared" si="77"/>
        <v>19.5902</v>
      </c>
      <c r="CF27" s="70">
        <f ca="1" t="shared" si="78"/>
        <v>19.5902</v>
      </c>
      <c r="CG27" s="67">
        <f ca="1" t="shared" si="79"/>
        <v>39.30481757441425</v>
      </c>
      <c r="CH27" s="65">
        <f ca="1" t="shared" si="80"/>
        <v>0.09480129194989151</v>
      </c>
      <c r="CI27" s="65">
        <f ca="1" t="shared" si="20"/>
        <v>0.1259216675698518</v>
      </c>
      <c r="CJ27" s="68">
        <f ca="1" t="shared" si="81"/>
        <v>0.12113672134546993</v>
      </c>
      <c r="CL27" s="97">
        <f ca="1" t="shared" si="21"/>
        <v>5990741.552061868</v>
      </c>
      <c r="CM27" s="97">
        <f ca="1" t="shared" si="22"/>
        <v>6243231.061349842</v>
      </c>
      <c r="CN27" s="97">
        <f ca="1" t="shared" si="23"/>
        <v>6016309.688066178</v>
      </c>
      <c r="CO27" s="97">
        <f ca="1" t="shared" si="82"/>
        <v>6745105.718277501</v>
      </c>
      <c r="CQ27" s="97">
        <f t="shared" si="24"/>
        <v>5944902.12279373</v>
      </c>
      <c r="CR27" s="97">
        <f t="shared" si="25"/>
        <v>6229866.241858717</v>
      </c>
      <c r="CS27" s="97">
        <f t="shared" si="26"/>
        <v>6092329.053162807</v>
      </c>
      <c r="CT27" s="97">
        <f t="shared" si="83"/>
        <v>6286767.276972557</v>
      </c>
      <c r="CV27" s="97">
        <f ca="1" t="shared" si="27"/>
        <v>5990741.552061868</v>
      </c>
      <c r="CW27" s="97">
        <f ca="1" t="shared" si="84"/>
        <v>6243231.061349841</v>
      </c>
      <c r="CX27" s="97">
        <f ca="1" t="shared" si="85"/>
        <v>6243231.061349841</v>
      </c>
      <c r="CY27" s="97">
        <f ca="1" t="shared" si="86"/>
        <v>6745105.718277501</v>
      </c>
    </row>
    <row r="28" spans="2:103" ht="12.75">
      <c r="B28" s="14">
        <v>10059</v>
      </c>
      <c r="C28" s="15" t="s">
        <v>27</v>
      </c>
      <c r="D28" s="16">
        <f>RHWM!D15</f>
        <v>1</v>
      </c>
      <c r="E28" s="16">
        <f>RHWM!E15</f>
        <v>0</v>
      </c>
      <c r="F28" s="18">
        <f>RHWM!M15</f>
        <v>7.604</v>
      </c>
      <c r="G28" s="18">
        <f>RHWM!N15</f>
        <v>7.599</v>
      </c>
      <c r="H28" s="18">
        <f>RHWM!O15</f>
        <v>7.639</v>
      </c>
      <c r="I28" s="18">
        <v>0</v>
      </c>
      <c r="J28" s="18">
        <v>0</v>
      </c>
      <c r="K28" s="18">
        <v>0</v>
      </c>
      <c r="L28" s="18">
        <v>0</v>
      </c>
      <c r="M28" s="18">
        <v>0</v>
      </c>
      <c r="N28" s="18">
        <v>0</v>
      </c>
      <c r="O28" s="81">
        <f t="shared" si="28"/>
        <v>7.639</v>
      </c>
      <c r="P28" s="63">
        <f t="shared" si="29"/>
        <v>7.599</v>
      </c>
      <c r="Q28" s="63">
        <f t="shared" si="30"/>
        <v>7.599</v>
      </c>
      <c r="R28" s="63">
        <f t="shared" si="31"/>
        <v>0</v>
      </c>
      <c r="S28" s="63">
        <f t="shared" si="32"/>
        <v>0.040000000000000036</v>
      </c>
      <c r="T28" s="67">
        <f t="shared" si="6"/>
        <v>33.949064274110405</v>
      </c>
      <c r="U28" s="138">
        <f ca="1" t="shared" si="7"/>
        <v>1.14</v>
      </c>
      <c r="V28" s="66">
        <f ca="1" t="shared" si="8"/>
        <v>8.66286</v>
      </c>
      <c r="W28" s="66">
        <f ca="1" t="shared" si="33"/>
        <v>7.639</v>
      </c>
      <c r="X28" s="66">
        <f ca="1" t="shared" si="34"/>
        <v>1.02386</v>
      </c>
      <c r="Y28" s="63">
        <f ca="1" t="shared" si="35"/>
        <v>0</v>
      </c>
      <c r="Z28" s="67">
        <f ca="1" t="shared" si="9"/>
        <v>38.24326110256746</v>
      </c>
      <c r="AA28" s="68">
        <f ca="1" t="shared" si="10"/>
        <v>0.1264894017044178</v>
      </c>
      <c r="AB28" s="169">
        <f t="shared" si="36"/>
        <v>7.599</v>
      </c>
      <c r="AC28" s="169">
        <f t="shared" si="37"/>
        <v>7.599</v>
      </c>
      <c r="AD28" s="169">
        <v>0</v>
      </c>
      <c r="AE28" s="171">
        <f t="shared" si="38"/>
        <v>0</v>
      </c>
      <c r="AF28" s="182">
        <v>0</v>
      </c>
      <c r="AG28" s="182">
        <f t="shared" si="39"/>
        <v>0</v>
      </c>
      <c r="AH28" s="182">
        <f t="shared" si="40"/>
        <v>0</v>
      </c>
      <c r="AI28" s="182">
        <v>0</v>
      </c>
      <c r="AJ28" s="171">
        <f t="shared" si="41"/>
        <v>0</v>
      </c>
      <c r="AK28" s="171">
        <f t="shared" si="42"/>
        <v>7.599</v>
      </c>
      <c r="AL28" s="171">
        <f t="shared" si="43"/>
        <v>0.4849531137102329</v>
      </c>
      <c r="AM28" s="171">
        <f t="shared" si="44"/>
        <v>8.083953113710233</v>
      </c>
      <c r="AN28" s="81">
        <f t="shared" si="45"/>
        <v>8.083953113710233</v>
      </c>
      <c r="AO28" s="63">
        <f t="shared" si="46"/>
        <v>7.599</v>
      </c>
      <c r="AP28" s="63">
        <f t="shared" si="47"/>
        <v>7.599</v>
      </c>
      <c r="AQ28" s="63">
        <f t="shared" si="48"/>
        <v>0</v>
      </c>
      <c r="AR28" s="63">
        <f t="shared" si="49"/>
        <v>0.4849531137102332</v>
      </c>
      <c r="AS28" s="67">
        <f t="shared" si="11"/>
        <v>35.5763854636149</v>
      </c>
      <c r="AT28" s="65">
        <f ca="1" t="shared" si="12"/>
        <v>1.14</v>
      </c>
      <c r="AU28" s="66">
        <f ca="1" t="shared" si="50"/>
        <v>8.66286</v>
      </c>
      <c r="AV28" s="66">
        <f ca="1" t="shared" si="51"/>
        <v>8.083953113710233</v>
      </c>
      <c r="AW28" s="66">
        <f ca="1" t="shared" si="52"/>
        <v>0.5789068862897668</v>
      </c>
      <c r="AX28" s="63">
        <f ca="1" t="shared" si="53"/>
        <v>0</v>
      </c>
      <c r="AY28" s="67">
        <f ca="1" t="shared" si="13"/>
        <v>38.1672274567943</v>
      </c>
      <c r="AZ28" s="65">
        <f ca="1" t="shared" si="54"/>
        <v>0.0728247673117084</v>
      </c>
      <c r="BA28" s="68">
        <f ca="1" t="shared" si="14"/>
        <v>-0.0019881580069555094</v>
      </c>
      <c r="BB28" s="169">
        <f t="shared" si="55"/>
        <v>7.599</v>
      </c>
      <c r="BC28" s="169">
        <f t="shared" si="56"/>
        <v>7.599</v>
      </c>
      <c r="BD28" s="169">
        <v>0</v>
      </c>
      <c r="BE28" s="171">
        <f t="shared" si="57"/>
        <v>0</v>
      </c>
      <c r="BF28" s="182">
        <v>0</v>
      </c>
      <c r="BG28" s="182">
        <f t="shared" si="58"/>
        <v>0</v>
      </c>
      <c r="BH28" s="182">
        <f t="shared" si="59"/>
        <v>0</v>
      </c>
      <c r="BI28" s="169">
        <f t="shared" si="60"/>
        <v>0</v>
      </c>
      <c r="BJ28" s="171">
        <f t="shared" si="61"/>
        <v>7.599</v>
      </c>
      <c r="BK28" s="171">
        <f t="shared" si="62"/>
        <v>0.14579730734069551</v>
      </c>
      <c r="BL28" s="171">
        <f t="shared" si="63"/>
        <v>7.744797307340695</v>
      </c>
      <c r="BM28" s="81">
        <f t="shared" si="64"/>
        <v>7.744797307340695</v>
      </c>
      <c r="BN28" s="63">
        <f t="shared" si="15"/>
        <v>7.599</v>
      </c>
      <c r="BO28" s="63">
        <f t="shared" si="65"/>
        <v>7.599</v>
      </c>
      <c r="BP28" s="63">
        <f t="shared" si="66"/>
        <v>0</v>
      </c>
      <c r="BQ28" s="63">
        <f t="shared" si="67"/>
        <v>0.14579730734069507</v>
      </c>
      <c r="BR28" s="67">
        <f t="shared" si="68"/>
        <v>34.790963136607154</v>
      </c>
      <c r="BS28" s="69">
        <f ca="1" t="shared" si="16"/>
        <v>1.14</v>
      </c>
      <c r="BT28" s="66">
        <f ca="1" t="shared" si="69"/>
        <v>8.66286</v>
      </c>
      <c r="BU28" s="66">
        <f ca="1" t="shared" si="70"/>
        <v>7.744797307340695</v>
      </c>
      <c r="BV28" s="66">
        <f ca="1" t="shared" si="71"/>
        <v>0.918062692659305</v>
      </c>
      <c r="BW28" s="63">
        <f ca="1" t="shared" si="72"/>
        <v>0</v>
      </c>
      <c r="BX28" s="67">
        <f ca="1" t="shared" si="17"/>
        <v>38.03192771846061</v>
      </c>
      <c r="BY28" s="65">
        <f ca="1" t="shared" si="73"/>
        <v>0.09315535672662367</v>
      </c>
      <c r="BZ28" s="68">
        <f ca="1" t="shared" si="18"/>
        <v>-0.005526029371293983</v>
      </c>
      <c r="CA28" s="81">
        <f t="shared" si="74"/>
        <v>7.599</v>
      </c>
      <c r="CB28" s="63">
        <f t="shared" si="75"/>
        <v>7.599</v>
      </c>
      <c r="CC28" s="67">
        <f t="shared" si="76"/>
        <v>35.90132553133049</v>
      </c>
      <c r="CD28" s="69">
        <f ca="1" t="shared" si="19"/>
        <v>1.14</v>
      </c>
      <c r="CE28" s="190">
        <f ca="1" t="shared" si="77"/>
        <v>8.66286</v>
      </c>
      <c r="CF28" s="70">
        <f ca="1" t="shared" si="78"/>
        <v>8.66286</v>
      </c>
      <c r="CG28" s="67">
        <f ca="1" t="shared" si="79"/>
        <v>39.30481757441425</v>
      </c>
      <c r="CH28" s="65">
        <f ca="1" t="shared" si="80"/>
        <v>0.09480129194989151</v>
      </c>
      <c r="CI28" s="65">
        <f ca="1" t="shared" si="20"/>
        <v>0.027758000788680848</v>
      </c>
      <c r="CJ28" s="68">
        <f ca="1" t="shared" si="81"/>
        <v>0.03346898073051885</v>
      </c>
      <c r="CL28" s="97">
        <f ca="1" t="shared" si="21"/>
        <v>2902153.107824891</v>
      </c>
      <c r="CM28" s="97">
        <f ca="1" t="shared" si="22"/>
        <v>2896383.1688861586</v>
      </c>
      <c r="CN28" s="97">
        <f ca="1" t="shared" si="23"/>
        <v>2886115.724511059</v>
      </c>
      <c r="CO28" s="97">
        <f ca="1" t="shared" si="82"/>
        <v>2982711.0760807665</v>
      </c>
      <c r="CQ28" s="97">
        <f t="shared" si="24"/>
        <v>2259895.5093101333</v>
      </c>
      <c r="CR28" s="97">
        <f t="shared" si="25"/>
        <v>2368221.7894889642</v>
      </c>
      <c r="CS28" s="97">
        <f t="shared" si="26"/>
        <v>2315938.3929456812</v>
      </c>
      <c r="CT28" s="97">
        <f t="shared" si="83"/>
        <v>2389852.1529622045</v>
      </c>
      <c r="CV28" s="97">
        <f ca="1" t="shared" si="27"/>
        <v>2902153.107824891</v>
      </c>
      <c r="CW28" s="97">
        <f ca="1" t="shared" si="84"/>
        <v>2896383.168886158</v>
      </c>
      <c r="CX28" s="97">
        <f ca="1" t="shared" si="85"/>
        <v>2896383.168886158</v>
      </c>
      <c r="CY28" s="97">
        <f ca="1" t="shared" si="86"/>
        <v>2982711.0760807665</v>
      </c>
    </row>
    <row r="29" spans="2:103" ht="12.75">
      <c r="B29" s="14">
        <v>10061</v>
      </c>
      <c r="C29" s="15" t="s">
        <v>28</v>
      </c>
      <c r="D29" s="16">
        <f>RHWM!D16</f>
        <v>1</v>
      </c>
      <c r="E29" s="16">
        <f>RHWM!E16</f>
        <v>0</v>
      </c>
      <c r="F29" s="18">
        <f>RHWM!M16</f>
        <v>9.714</v>
      </c>
      <c r="G29" s="18">
        <f>RHWM!N16</f>
        <v>9.802</v>
      </c>
      <c r="H29" s="18">
        <f>RHWM!O16</f>
        <v>8.747</v>
      </c>
      <c r="I29" s="18">
        <v>0.967</v>
      </c>
      <c r="J29" s="18">
        <v>1.055</v>
      </c>
      <c r="K29" s="18">
        <v>0.967</v>
      </c>
      <c r="L29" s="18">
        <v>0</v>
      </c>
      <c r="M29" s="18">
        <v>0</v>
      </c>
      <c r="N29" s="18">
        <v>1.055</v>
      </c>
      <c r="O29" s="81">
        <f t="shared" si="28"/>
        <v>8.747</v>
      </c>
      <c r="P29" s="63">
        <f t="shared" si="29"/>
        <v>9.802</v>
      </c>
      <c r="Q29" s="63">
        <f t="shared" si="30"/>
        <v>8.747</v>
      </c>
      <c r="R29" s="63">
        <f t="shared" si="31"/>
        <v>1.0549999999999997</v>
      </c>
      <c r="S29" s="63">
        <f t="shared" si="32"/>
        <v>0</v>
      </c>
      <c r="T29" s="67">
        <f t="shared" si="6"/>
        <v>37.08876404872921</v>
      </c>
      <c r="U29" s="138">
        <f ca="1" t="shared" si="7"/>
        <v>0.94</v>
      </c>
      <c r="V29" s="66">
        <f ca="1" t="shared" si="8"/>
        <v>9.21388</v>
      </c>
      <c r="W29" s="66">
        <f ca="1" t="shared" si="33"/>
        <v>8.747</v>
      </c>
      <c r="X29" s="66">
        <f ca="1" t="shared" si="34"/>
        <v>0.46687999999999974</v>
      </c>
      <c r="Y29" s="63">
        <f ca="1" t="shared" si="35"/>
        <v>0</v>
      </c>
      <c r="Z29" s="67">
        <f ca="1" t="shared" si="9"/>
        <v>36.338505501309015</v>
      </c>
      <c r="AA29" s="68">
        <f ca="1" t="shared" si="10"/>
        <v>-0.020228728744761226</v>
      </c>
      <c r="AB29" s="169">
        <f t="shared" si="36"/>
        <v>8.747</v>
      </c>
      <c r="AC29" s="169">
        <f t="shared" si="37"/>
        <v>8.747</v>
      </c>
      <c r="AD29" s="169">
        <v>0</v>
      </c>
      <c r="AE29" s="171">
        <f t="shared" si="38"/>
        <v>0</v>
      </c>
      <c r="AF29" s="182">
        <v>0</v>
      </c>
      <c r="AG29" s="182">
        <f t="shared" si="39"/>
        <v>0</v>
      </c>
      <c r="AH29" s="182">
        <f t="shared" si="40"/>
        <v>0</v>
      </c>
      <c r="AI29" s="182">
        <v>0</v>
      </c>
      <c r="AJ29" s="171">
        <f t="shared" si="41"/>
        <v>0.5274999999999999</v>
      </c>
      <c r="AK29" s="171">
        <f t="shared" si="42"/>
        <v>9.2745</v>
      </c>
      <c r="AL29" s="171">
        <f t="shared" si="43"/>
        <v>0.5918802017509613</v>
      </c>
      <c r="AM29" s="171">
        <f t="shared" si="44"/>
        <v>9.86638020175096</v>
      </c>
      <c r="AN29" s="81">
        <f t="shared" si="45"/>
        <v>9.86638020175096</v>
      </c>
      <c r="AO29" s="63">
        <f t="shared" si="46"/>
        <v>9.802</v>
      </c>
      <c r="AP29" s="63">
        <f t="shared" si="47"/>
        <v>9.802</v>
      </c>
      <c r="AQ29" s="63">
        <f t="shared" si="48"/>
        <v>0</v>
      </c>
      <c r="AR29" s="63">
        <f t="shared" si="49"/>
        <v>0.06438020175096071</v>
      </c>
      <c r="AS29" s="67">
        <f t="shared" si="11"/>
        <v>35.5763854636149</v>
      </c>
      <c r="AT29" s="65">
        <f ca="1" t="shared" si="12"/>
        <v>0.94</v>
      </c>
      <c r="AU29" s="66">
        <f ca="1" t="shared" si="50"/>
        <v>9.21388</v>
      </c>
      <c r="AV29" s="66">
        <f ca="1" t="shared" si="51"/>
        <v>9.21388</v>
      </c>
      <c r="AW29" s="66">
        <f ca="1" t="shared" si="52"/>
        <v>0</v>
      </c>
      <c r="AX29" s="63">
        <f ca="1" t="shared" si="53"/>
        <v>0.6525002017509607</v>
      </c>
      <c r="AY29" s="67">
        <f ca="1" t="shared" si="13"/>
        <v>36.38031310262951</v>
      </c>
      <c r="AZ29" s="65">
        <f ca="1" t="shared" si="54"/>
        <v>0.0225972264618286</v>
      </c>
      <c r="BA29" s="68">
        <f ca="1" t="shared" si="14"/>
        <v>0.0011505041482509082</v>
      </c>
      <c r="BB29" s="169">
        <f t="shared" si="55"/>
        <v>8.747</v>
      </c>
      <c r="BC29" s="169">
        <f t="shared" si="56"/>
        <v>8.747</v>
      </c>
      <c r="BD29" s="169">
        <v>0</v>
      </c>
      <c r="BE29" s="171">
        <f t="shared" si="57"/>
        <v>0</v>
      </c>
      <c r="BF29" s="182">
        <v>0</v>
      </c>
      <c r="BG29" s="182">
        <f t="shared" si="58"/>
        <v>0</v>
      </c>
      <c r="BH29" s="182">
        <f t="shared" si="59"/>
        <v>0</v>
      </c>
      <c r="BI29" s="169">
        <f t="shared" si="60"/>
        <v>0.26374999999999993</v>
      </c>
      <c r="BJ29" s="171">
        <f t="shared" si="61"/>
        <v>9.01075</v>
      </c>
      <c r="BK29" s="171">
        <f t="shared" si="62"/>
        <v>0.17288368036849217</v>
      </c>
      <c r="BL29" s="171">
        <f t="shared" si="63"/>
        <v>9.183633680368493</v>
      </c>
      <c r="BM29" s="81">
        <f t="shared" si="64"/>
        <v>9.183633680368493</v>
      </c>
      <c r="BN29" s="63">
        <f t="shared" si="15"/>
        <v>9.802</v>
      </c>
      <c r="BO29" s="63">
        <f t="shared" si="65"/>
        <v>9.183633680368493</v>
      </c>
      <c r="BP29" s="63">
        <f t="shared" si="66"/>
        <v>0.618366319631507</v>
      </c>
      <c r="BQ29" s="63">
        <f t="shared" si="67"/>
        <v>0</v>
      </c>
      <c r="BR29" s="67">
        <f t="shared" si="68"/>
        <v>36.57812109048611</v>
      </c>
      <c r="BS29" s="69">
        <f ca="1" t="shared" si="16"/>
        <v>0.94</v>
      </c>
      <c r="BT29" s="66">
        <f ca="1" t="shared" si="69"/>
        <v>9.21388</v>
      </c>
      <c r="BU29" s="66">
        <f ca="1" t="shared" si="70"/>
        <v>9.183633680368493</v>
      </c>
      <c r="BV29" s="66">
        <f ca="1" t="shared" si="71"/>
        <v>0.030246319631507035</v>
      </c>
      <c r="BW29" s="63">
        <f ca="1" t="shared" si="72"/>
        <v>0</v>
      </c>
      <c r="BX29" s="67">
        <f ca="1" t="shared" si="17"/>
        <v>35.150124558339755</v>
      </c>
      <c r="BY29" s="65">
        <f ca="1" t="shared" si="73"/>
        <v>-0.039039635978398324</v>
      </c>
      <c r="BZ29" s="68">
        <f ca="1" t="shared" si="18"/>
        <v>-0.03270307698610364</v>
      </c>
      <c r="CA29" s="81">
        <f t="shared" si="74"/>
        <v>9.802</v>
      </c>
      <c r="CB29" s="63">
        <f t="shared" si="75"/>
        <v>9.802</v>
      </c>
      <c r="CC29" s="67">
        <f t="shared" si="76"/>
        <v>35.90132553133049</v>
      </c>
      <c r="CD29" s="69">
        <f ca="1" t="shared" si="19"/>
        <v>0.94</v>
      </c>
      <c r="CE29" s="190">
        <f ca="1" t="shared" si="77"/>
        <v>9.21388</v>
      </c>
      <c r="CF29" s="70">
        <f ca="1" t="shared" si="78"/>
        <v>9.21388</v>
      </c>
      <c r="CG29" s="67">
        <f ca="1" t="shared" si="79"/>
        <v>39.30481757441425</v>
      </c>
      <c r="CH29" s="65">
        <f ca="1" t="shared" si="80"/>
        <v>0.09480129194989151</v>
      </c>
      <c r="CI29" s="65">
        <f ca="1" t="shared" si="20"/>
        <v>0.08162999639592727</v>
      </c>
      <c r="CJ29" s="68">
        <f ca="1" t="shared" si="81"/>
        <v>0.11819852897473582</v>
      </c>
      <c r="CL29" s="97">
        <f ca="1" t="shared" si="21"/>
        <v>2933011.1906391936</v>
      </c>
      <c r="CM29" s="97">
        <f ca="1" t="shared" si="22"/>
        <v>2936385.63218089</v>
      </c>
      <c r="CN29" s="97">
        <f ca="1" t="shared" si="23"/>
        <v>2837092.6998706167</v>
      </c>
      <c r="CO29" s="97">
        <f ca="1" t="shared" si="82"/>
        <v>3172432.883560285</v>
      </c>
      <c r="CQ29" s="97">
        <f t="shared" si="24"/>
        <v>3184646.011201439</v>
      </c>
      <c r="CR29" s="97">
        <f t="shared" si="25"/>
        <v>3054784.837553734</v>
      </c>
      <c r="CS29" s="97">
        <f t="shared" si="26"/>
        <v>3140799.3880575565</v>
      </c>
      <c r="CT29" s="97">
        <f t="shared" si="83"/>
        <v>3082685.9854369685</v>
      </c>
      <c r="CV29" s="97">
        <f ca="1" t="shared" si="27"/>
        <v>2933011.1906391936</v>
      </c>
      <c r="CW29" s="97">
        <f ca="1" t="shared" si="84"/>
        <v>2936385.63218089</v>
      </c>
      <c r="CX29" s="97">
        <f ca="1" t="shared" si="85"/>
        <v>2936385.63218089</v>
      </c>
      <c r="CY29" s="97">
        <f ca="1" t="shared" si="86"/>
        <v>3172432.883560285</v>
      </c>
    </row>
    <row r="30" spans="2:103" ht="12.75">
      <c r="B30" s="14">
        <v>10062</v>
      </c>
      <c r="C30" s="15" t="s">
        <v>29</v>
      </c>
      <c r="D30" s="16">
        <f>RHWM!D17</f>
        <v>1</v>
      </c>
      <c r="E30" s="16">
        <f>RHWM!E17</f>
        <v>0</v>
      </c>
      <c r="F30" s="18">
        <f>RHWM!M17</f>
        <v>7.126</v>
      </c>
      <c r="G30" s="18">
        <f>RHWM!N17</f>
        <v>7.209</v>
      </c>
      <c r="H30" s="18">
        <f>RHWM!O17</f>
        <v>5.32</v>
      </c>
      <c r="I30" s="18">
        <v>1.806</v>
      </c>
      <c r="J30" s="18">
        <v>1.889</v>
      </c>
      <c r="K30" s="18">
        <v>0</v>
      </c>
      <c r="L30" s="18">
        <v>0</v>
      </c>
      <c r="M30" s="18">
        <v>1.806</v>
      </c>
      <c r="N30" s="18">
        <v>1.889</v>
      </c>
      <c r="O30" s="81">
        <f t="shared" si="28"/>
        <v>5.32</v>
      </c>
      <c r="P30" s="63">
        <f t="shared" si="29"/>
        <v>7.209</v>
      </c>
      <c r="Q30" s="63">
        <f t="shared" si="30"/>
        <v>5.32</v>
      </c>
      <c r="R30" s="63">
        <f t="shared" si="31"/>
        <v>1.8889999999999993</v>
      </c>
      <c r="S30" s="63">
        <f t="shared" si="32"/>
        <v>0</v>
      </c>
      <c r="T30" s="67">
        <f t="shared" si="6"/>
        <v>41.592828677800995</v>
      </c>
      <c r="U30" s="138">
        <f ca="1" t="shared" si="7"/>
        <v>1.02</v>
      </c>
      <c r="V30" s="66">
        <f ca="1" t="shared" si="8"/>
        <v>7.35318</v>
      </c>
      <c r="W30" s="66">
        <f ca="1" t="shared" si="33"/>
        <v>5.32</v>
      </c>
      <c r="X30" s="66">
        <f ca="1" t="shared" si="34"/>
        <v>2.0331799999999998</v>
      </c>
      <c r="Y30" s="63">
        <f ca="1" t="shared" si="35"/>
        <v>0</v>
      </c>
      <c r="Z30" s="67">
        <f ca="1" t="shared" si="9"/>
        <v>42.709451833639264</v>
      </c>
      <c r="AA30" s="68">
        <f ca="1" t="shared" si="10"/>
        <v>0.0268465307923198</v>
      </c>
      <c r="AB30" s="169">
        <f t="shared" si="36"/>
        <v>5.32</v>
      </c>
      <c r="AC30" s="169">
        <f t="shared" si="37"/>
        <v>5.32</v>
      </c>
      <c r="AD30" s="169">
        <v>0</v>
      </c>
      <c r="AE30" s="171">
        <f t="shared" si="38"/>
        <v>0</v>
      </c>
      <c r="AF30" s="182">
        <v>0</v>
      </c>
      <c r="AG30" s="182">
        <f t="shared" si="39"/>
        <v>0</v>
      </c>
      <c r="AH30" s="182">
        <f t="shared" si="40"/>
        <v>0</v>
      </c>
      <c r="AI30" s="182">
        <v>0</v>
      </c>
      <c r="AJ30" s="171">
        <f t="shared" si="41"/>
        <v>0.9444999999999997</v>
      </c>
      <c r="AK30" s="171">
        <f t="shared" si="42"/>
        <v>6.2645</v>
      </c>
      <c r="AL30" s="171">
        <f t="shared" si="43"/>
        <v>0.39978796957991236</v>
      </c>
      <c r="AM30" s="171">
        <f t="shared" si="44"/>
        <v>6.664287969579912</v>
      </c>
      <c r="AN30" s="81">
        <f t="shared" si="45"/>
        <v>6.664287969579912</v>
      </c>
      <c r="AO30" s="63">
        <f t="shared" si="46"/>
        <v>7.209</v>
      </c>
      <c r="AP30" s="63">
        <f t="shared" si="47"/>
        <v>6.664287969579912</v>
      </c>
      <c r="AQ30" s="63">
        <f t="shared" si="48"/>
        <v>0.5447120304200874</v>
      </c>
      <c r="AR30" s="63">
        <f t="shared" si="49"/>
        <v>0</v>
      </c>
      <c r="AS30" s="67">
        <f t="shared" si="11"/>
        <v>37.65758094138193</v>
      </c>
      <c r="AT30" s="65">
        <f ca="1" t="shared" si="12"/>
        <v>1.02</v>
      </c>
      <c r="AU30" s="66">
        <f ca="1" t="shared" si="50"/>
        <v>7.35318</v>
      </c>
      <c r="AV30" s="66">
        <f ca="1" t="shared" si="51"/>
        <v>6.664287969579912</v>
      </c>
      <c r="AW30" s="66">
        <f ca="1" t="shared" si="52"/>
        <v>0.6888920304200878</v>
      </c>
      <c r="AX30" s="63">
        <f ca="1" t="shared" si="53"/>
        <v>0</v>
      </c>
      <c r="AY30" s="67">
        <f ca="1" t="shared" si="13"/>
        <v>38.885454714765615</v>
      </c>
      <c r="AZ30" s="65">
        <f ca="1" t="shared" si="54"/>
        <v>0.03260628385277853</v>
      </c>
      <c r="BA30" s="68">
        <f ca="1" t="shared" si="14"/>
        <v>-0.08953514865441925</v>
      </c>
      <c r="BB30" s="169">
        <f t="shared" si="55"/>
        <v>5.32</v>
      </c>
      <c r="BC30" s="169">
        <f t="shared" si="56"/>
        <v>5.32</v>
      </c>
      <c r="BD30" s="169">
        <v>0</v>
      </c>
      <c r="BE30" s="171">
        <f t="shared" si="57"/>
        <v>0</v>
      </c>
      <c r="BF30" s="182">
        <v>0</v>
      </c>
      <c r="BG30" s="182">
        <f t="shared" si="58"/>
        <v>0</v>
      </c>
      <c r="BH30" s="182">
        <f t="shared" si="59"/>
        <v>0</v>
      </c>
      <c r="BI30" s="169">
        <f t="shared" si="60"/>
        <v>0.47224999999999984</v>
      </c>
      <c r="BJ30" s="171">
        <f t="shared" si="61"/>
        <v>5.79225</v>
      </c>
      <c r="BK30" s="171">
        <f t="shared" si="62"/>
        <v>0.1111323139155341</v>
      </c>
      <c r="BL30" s="171">
        <f t="shared" si="63"/>
        <v>5.903382313915534</v>
      </c>
      <c r="BM30" s="81">
        <f t="shared" si="64"/>
        <v>5.903382313915534</v>
      </c>
      <c r="BN30" s="63">
        <f t="shared" si="15"/>
        <v>7.209</v>
      </c>
      <c r="BO30" s="63">
        <f t="shared" si="65"/>
        <v>5.903382313915534</v>
      </c>
      <c r="BP30" s="63">
        <f t="shared" si="66"/>
        <v>1.3056176860844655</v>
      </c>
      <c r="BQ30" s="63">
        <f t="shared" si="67"/>
        <v>0</v>
      </c>
      <c r="BR30" s="67">
        <f t="shared" si="68"/>
        <v>39.92161808994111</v>
      </c>
      <c r="BS30" s="69">
        <f ca="1" t="shared" si="16"/>
        <v>1.02</v>
      </c>
      <c r="BT30" s="66">
        <f ca="1" t="shared" si="69"/>
        <v>7.35318</v>
      </c>
      <c r="BU30" s="66">
        <f ca="1" t="shared" si="70"/>
        <v>5.903382313915534</v>
      </c>
      <c r="BV30" s="66">
        <f ca="1" t="shared" si="71"/>
        <v>1.449797686084466</v>
      </c>
      <c r="BW30" s="63">
        <f ca="1" t="shared" si="72"/>
        <v>0</v>
      </c>
      <c r="BX30" s="67">
        <f ca="1" t="shared" si="17"/>
        <v>40.59087915610238</v>
      </c>
      <c r="BY30" s="65">
        <f ca="1" t="shared" si="73"/>
        <v>0.01676437725178026</v>
      </c>
      <c r="BZ30" s="68">
        <f ca="1" t="shared" si="18"/>
        <v>-0.04960430505615221</v>
      </c>
      <c r="CA30" s="81">
        <f t="shared" si="74"/>
        <v>7.209</v>
      </c>
      <c r="CB30" s="63">
        <f t="shared" si="75"/>
        <v>7.209</v>
      </c>
      <c r="CC30" s="67">
        <f t="shared" si="76"/>
        <v>35.90132553133049</v>
      </c>
      <c r="CD30" s="69">
        <f ca="1" t="shared" si="19"/>
        <v>1.02</v>
      </c>
      <c r="CE30" s="190">
        <f ca="1" t="shared" si="77"/>
        <v>7.35318</v>
      </c>
      <c r="CF30" s="70">
        <f ca="1" t="shared" si="78"/>
        <v>7.35318</v>
      </c>
      <c r="CG30" s="67">
        <f ca="1" t="shared" si="79"/>
        <v>39.30481757441425</v>
      </c>
      <c r="CH30" s="65">
        <f ca="1" t="shared" si="80"/>
        <v>0.09480129194989151</v>
      </c>
      <c r="CI30" s="65">
        <f ca="1" t="shared" si="20"/>
        <v>-0.0797161778729133</v>
      </c>
      <c r="CJ30" s="68">
        <f ca="1" t="shared" si="81"/>
        <v>-0.03168351138053105</v>
      </c>
      <c r="CL30" s="97">
        <f ca="1" t="shared" si="21"/>
        <v>2751080.514418537</v>
      </c>
      <c r="CM30" s="97">
        <f ca="1" t="shared" si="22"/>
        <v>2504762.1115997974</v>
      </c>
      <c r="CN30" s="97">
        <f ca="1" t="shared" si="23"/>
        <v>2614615.0773472837</v>
      </c>
      <c r="CO30" s="97">
        <f ca="1" t="shared" si="82"/>
        <v>2531774.890788443</v>
      </c>
      <c r="CQ30" s="97">
        <f t="shared" si="24"/>
        <v>2626622.068979222</v>
      </c>
      <c r="CR30" s="97">
        <f t="shared" si="25"/>
        <v>2378107.86881626</v>
      </c>
      <c r="CS30" s="97">
        <f t="shared" si="26"/>
        <v>2521083.716538977</v>
      </c>
      <c r="CT30" s="97">
        <f t="shared" si="83"/>
        <v>2267198.8644169667</v>
      </c>
      <c r="CV30" s="97">
        <f ca="1" t="shared" si="27"/>
        <v>2751080.514418537</v>
      </c>
      <c r="CW30" s="97">
        <f ca="1" t="shared" si="84"/>
        <v>2504762.1115997974</v>
      </c>
      <c r="CX30" s="97">
        <f ca="1" t="shared" si="85"/>
        <v>2504762.1115997974</v>
      </c>
      <c r="CY30" s="97">
        <f ca="1" t="shared" si="86"/>
        <v>2531774.890788443</v>
      </c>
    </row>
    <row r="31" spans="2:103" ht="12.75">
      <c r="B31" s="14">
        <v>10064</v>
      </c>
      <c r="C31" s="15" t="s">
        <v>30</v>
      </c>
      <c r="D31" s="16">
        <f>RHWM!D18</f>
        <v>1</v>
      </c>
      <c r="E31" s="16">
        <f>RHWM!E18</f>
        <v>0</v>
      </c>
      <c r="F31" s="18">
        <f>RHWM!M18</f>
        <v>16.594</v>
      </c>
      <c r="G31" s="18">
        <f>RHWM!N18</f>
        <v>17.511</v>
      </c>
      <c r="H31" s="18">
        <f>RHWM!O18</f>
        <v>14.064</v>
      </c>
      <c r="I31" s="18">
        <f>MAX(F31-$H31,0)</f>
        <v>2.530000000000001</v>
      </c>
      <c r="J31" s="18">
        <f>MAX(G31-$H31,0)</f>
        <v>3.446999999999999</v>
      </c>
      <c r="K31" s="18">
        <v>0</v>
      </c>
      <c r="L31" s="18">
        <v>0</v>
      </c>
      <c r="M31" s="18">
        <f>I31</f>
        <v>2.530000000000001</v>
      </c>
      <c r="N31" s="18">
        <f>J31</f>
        <v>3.446999999999999</v>
      </c>
      <c r="O31" s="81">
        <f t="shared" si="28"/>
        <v>14.064</v>
      </c>
      <c r="P31" s="63">
        <f t="shared" si="29"/>
        <v>17.511</v>
      </c>
      <c r="Q31" s="63">
        <f t="shared" si="30"/>
        <v>14.064</v>
      </c>
      <c r="R31" s="63">
        <f t="shared" si="31"/>
        <v>3.446999999999999</v>
      </c>
      <c r="S31" s="63">
        <f t="shared" si="32"/>
        <v>0</v>
      </c>
      <c r="T31" s="67">
        <f t="shared" si="6"/>
        <v>39.69129575415959</v>
      </c>
      <c r="U31" s="138">
        <f ca="1" t="shared" si="7"/>
        <v>1</v>
      </c>
      <c r="V31" s="66">
        <f ca="1" t="shared" si="8"/>
        <v>17.511</v>
      </c>
      <c r="W31" s="66">
        <f ca="1" t="shared" si="33"/>
        <v>14.064</v>
      </c>
      <c r="X31" s="66">
        <f ca="1" t="shared" si="34"/>
        <v>3.446999999999999</v>
      </c>
      <c r="Y31" s="63">
        <f ca="1" t="shared" si="35"/>
        <v>0</v>
      </c>
      <c r="Z31" s="67">
        <f ca="1" t="shared" si="9"/>
        <v>40.46228324220795</v>
      </c>
      <c r="AA31" s="68">
        <f ca="1" t="shared" si="10"/>
        <v>0.019424598602769683</v>
      </c>
      <c r="AB31" s="169">
        <f t="shared" si="36"/>
        <v>14.064</v>
      </c>
      <c r="AC31" s="169">
        <f t="shared" si="37"/>
        <v>14.064</v>
      </c>
      <c r="AD31" s="169">
        <v>0</v>
      </c>
      <c r="AE31" s="171">
        <f t="shared" si="38"/>
        <v>0</v>
      </c>
      <c r="AF31" s="182">
        <v>0</v>
      </c>
      <c r="AG31" s="182">
        <f t="shared" si="39"/>
        <v>0</v>
      </c>
      <c r="AH31" s="182">
        <f t="shared" si="40"/>
        <v>0</v>
      </c>
      <c r="AI31" s="182">
        <v>0</v>
      </c>
      <c r="AJ31" s="171">
        <f t="shared" si="41"/>
        <v>1.7234999999999996</v>
      </c>
      <c r="AK31" s="171">
        <f t="shared" si="42"/>
        <v>15.7875</v>
      </c>
      <c r="AL31" s="171">
        <f t="shared" si="43"/>
        <v>1.0075269486380183</v>
      </c>
      <c r="AM31" s="171">
        <f t="shared" si="44"/>
        <v>16.795026948638018</v>
      </c>
      <c r="AN31" s="81">
        <f t="shared" si="45"/>
        <v>16.795026948638018</v>
      </c>
      <c r="AO31" s="63">
        <f t="shared" si="46"/>
        <v>17.511</v>
      </c>
      <c r="AP31" s="63">
        <f t="shared" si="47"/>
        <v>16.795026948638018</v>
      </c>
      <c r="AQ31" s="63">
        <f t="shared" si="48"/>
        <v>0.7159730513619813</v>
      </c>
      <c r="AR31" s="63">
        <f t="shared" si="49"/>
        <v>0</v>
      </c>
      <c r="AS31" s="67">
        <f t="shared" si="11"/>
        <v>36.70256248064156</v>
      </c>
      <c r="AT31" s="65">
        <f ca="1" t="shared" si="12"/>
        <v>1</v>
      </c>
      <c r="AU31" s="66">
        <f ca="1" t="shared" si="50"/>
        <v>17.511</v>
      </c>
      <c r="AV31" s="66">
        <f ca="1" t="shared" si="51"/>
        <v>16.795026948638018</v>
      </c>
      <c r="AW31" s="66">
        <f ca="1" t="shared" si="52"/>
        <v>0.7159730513619813</v>
      </c>
      <c r="AX31" s="63">
        <f ca="1" t="shared" si="53"/>
        <v>0</v>
      </c>
      <c r="AY31" s="67">
        <f ca="1" t="shared" si="13"/>
        <v>37.47361989381073</v>
      </c>
      <c r="AZ31" s="65">
        <f ca="1" t="shared" si="54"/>
        <v>0.02100827193130872</v>
      </c>
      <c r="BA31" s="68">
        <f ca="1" t="shared" si="14"/>
        <v>-0.07386294368281277</v>
      </c>
      <c r="BB31" s="169">
        <f t="shared" si="55"/>
        <v>14.064</v>
      </c>
      <c r="BC31" s="169">
        <f t="shared" si="56"/>
        <v>14.064</v>
      </c>
      <c r="BD31" s="169">
        <v>0</v>
      </c>
      <c r="BE31" s="171">
        <f t="shared" si="57"/>
        <v>0</v>
      </c>
      <c r="BF31" s="182">
        <v>0</v>
      </c>
      <c r="BG31" s="182">
        <f t="shared" si="58"/>
        <v>0</v>
      </c>
      <c r="BH31" s="182">
        <f t="shared" si="59"/>
        <v>0</v>
      </c>
      <c r="BI31" s="169">
        <f t="shared" si="60"/>
        <v>0.8617499999999998</v>
      </c>
      <c r="BJ31" s="171">
        <f t="shared" si="61"/>
        <v>14.92575</v>
      </c>
      <c r="BK31" s="171">
        <f t="shared" si="62"/>
        <v>0.2863711225214352</v>
      </c>
      <c r="BL31" s="171">
        <f t="shared" si="63"/>
        <v>15.212121122521436</v>
      </c>
      <c r="BM31" s="81">
        <f t="shared" si="64"/>
        <v>15.212121122521436</v>
      </c>
      <c r="BN31" s="63">
        <f t="shared" si="15"/>
        <v>17.511</v>
      </c>
      <c r="BO31" s="63">
        <f t="shared" si="65"/>
        <v>15.212121122521436</v>
      </c>
      <c r="BP31" s="63">
        <f t="shared" si="66"/>
        <v>2.298878877478563</v>
      </c>
      <c r="BQ31" s="63">
        <f t="shared" si="67"/>
        <v>0</v>
      </c>
      <c r="BR31" s="67">
        <f t="shared" si="68"/>
        <v>38.51005539087963</v>
      </c>
      <c r="BS31" s="69">
        <f ca="1" t="shared" si="16"/>
        <v>1</v>
      </c>
      <c r="BT31" s="66">
        <f ca="1" t="shared" si="69"/>
        <v>17.511</v>
      </c>
      <c r="BU31" s="66">
        <f ca="1" t="shared" si="70"/>
        <v>15.212121122521436</v>
      </c>
      <c r="BV31" s="66">
        <f ca="1" t="shared" si="71"/>
        <v>2.298878877478563</v>
      </c>
      <c r="BW31" s="63">
        <f ca="1" t="shared" si="72"/>
        <v>0</v>
      </c>
      <c r="BX31" s="67">
        <f ca="1" t="shared" si="17"/>
        <v>38.7420400813173</v>
      </c>
      <c r="BY31" s="65">
        <f ca="1" t="shared" si="73"/>
        <v>0.0060240030320135585</v>
      </c>
      <c r="BZ31" s="68">
        <f ca="1" t="shared" si="18"/>
        <v>-0.04251473280915086</v>
      </c>
      <c r="CA31" s="81">
        <f t="shared" si="74"/>
        <v>17.511</v>
      </c>
      <c r="CB31" s="63">
        <f t="shared" si="75"/>
        <v>17.511</v>
      </c>
      <c r="CC31" s="67">
        <f t="shared" si="76"/>
        <v>35.90132553133049</v>
      </c>
      <c r="CD31" s="69">
        <f ca="1" t="shared" si="19"/>
        <v>1</v>
      </c>
      <c r="CE31" s="190">
        <f ca="1" t="shared" si="77"/>
        <v>17.511</v>
      </c>
      <c r="CF31" s="70">
        <f ca="1" t="shared" si="78"/>
        <v>17.511</v>
      </c>
      <c r="CG31" s="67">
        <f ca="1" t="shared" si="79"/>
        <v>39.30481757441425</v>
      </c>
      <c r="CH31" s="65">
        <f ca="1" t="shared" si="80"/>
        <v>0.09480129194989151</v>
      </c>
      <c r="CI31" s="65">
        <f ca="1" t="shared" si="20"/>
        <v>-0.028606039379070358</v>
      </c>
      <c r="CJ31" s="68">
        <f ca="1" t="shared" si="81"/>
        <v>0.01452627409180618</v>
      </c>
      <c r="CL31" s="97">
        <f ca="1" t="shared" si="21"/>
        <v>6206766.9666436985</v>
      </c>
      <c r="CM31" s="97">
        <f ca="1" t="shared" si="22"/>
        <v>5748316.887734151</v>
      </c>
      <c r="CN31" s="97">
        <f ca="1" t="shared" si="23"/>
        <v>5942887.927448177</v>
      </c>
      <c r="CO31" s="97">
        <f ca="1" t="shared" si="82"/>
        <v>6029215.9463791745</v>
      </c>
      <c r="CQ31" s="97">
        <f t="shared" si="24"/>
        <v>6088500.292371537</v>
      </c>
      <c r="CR31" s="97">
        <f t="shared" si="25"/>
        <v>5630039.487202985</v>
      </c>
      <c r="CS31" s="97">
        <f t="shared" si="26"/>
        <v>5907302.320359312</v>
      </c>
      <c r="CT31" s="97">
        <f t="shared" si="83"/>
        <v>5507132.655681163</v>
      </c>
      <c r="CV31" s="97">
        <f ca="1" t="shared" si="27"/>
        <v>6206766.966643698</v>
      </c>
      <c r="CW31" s="97">
        <f ca="1" t="shared" si="84"/>
        <v>5748316.887734152</v>
      </c>
      <c r="CX31" s="97">
        <f ca="1" t="shared" si="85"/>
        <v>5748316.887734152</v>
      </c>
      <c r="CY31" s="97">
        <f ca="1" t="shared" si="86"/>
        <v>6029215.9463791745</v>
      </c>
    </row>
    <row r="32" spans="2:103" ht="12.75">
      <c r="B32" s="14">
        <v>10065</v>
      </c>
      <c r="C32" s="15" t="s">
        <v>31</v>
      </c>
      <c r="D32" s="16">
        <f>RHWM!D19</f>
        <v>1</v>
      </c>
      <c r="E32" s="16">
        <f>RHWM!E19</f>
        <v>0</v>
      </c>
      <c r="F32" s="18">
        <f>RHWM!M19</f>
        <v>4.508</v>
      </c>
      <c r="G32" s="18">
        <f>RHWM!N19</f>
        <v>4.527</v>
      </c>
      <c r="H32" s="18">
        <f>RHWM!O19</f>
        <v>2.378</v>
      </c>
      <c r="I32" s="18">
        <v>2.13</v>
      </c>
      <c r="J32" s="18">
        <v>2.149</v>
      </c>
      <c r="K32" s="18">
        <v>0</v>
      </c>
      <c r="L32" s="18">
        <v>0</v>
      </c>
      <c r="M32" s="18">
        <v>2.13</v>
      </c>
      <c r="N32" s="18">
        <v>2.149</v>
      </c>
      <c r="O32" s="81">
        <f t="shared" si="28"/>
        <v>2.378</v>
      </c>
      <c r="P32" s="63">
        <f t="shared" si="29"/>
        <v>4.527</v>
      </c>
      <c r="Q32" s="63">
        <f t="shared" si="30"/>
        <v>2.378</v>
      </c>
      <c r="R32" s="63">
        <f t="shared" si="31"/>
        <v>2.149</v>
      </c>
      <c r="S32" s="63">
        <f t="shared" si="32"/>
        <v>0</v>
      </c>
      <c r="T32" s="67">
        <f t="shared" si="6"/>
        <v>47.7967207518963</v>
      </c>
      <c r="U32" s="138">
        <f ca="1" t="shared" si="7"/>
        <v>1.03</v>
      </c>
      <c r="V32" s="66">
        <f ca="1" t="shared" si="8"/>
        <v>4.66281</v>
      </c>
      <c r="W32" s="66">
        <f ca="1" t="shared" si="33"/>
        <v>2.378</v>
      </c>
      <c r="X32" s="66">
        <f ca="1" t="shared" si="34"/>
        <v>2.2848100000000002</v>
      </c>
      <c r="Y32" s="63">
        <f ca="1" t="shared" si="35"/>
        <v>0</v>
      </c>
      <c r="Z32" s="67">
        <f ca="1" t="shared" si="9"/>
        <v>48.73259845209031</v>
      </c>
      <c r="AA32" s="68">
        <f ca="1" t="shared" si="10"/>
        <v>0.01958037466737461</v>
      </c>
      <c r="AB32" s="169">
        <f t="shared" si="36"/>
        <v>2.378</v>
      </c>
      <c r="AC32" s="169">
        <f t="shared" si="37"/>
        <v>4.756</v>
      </c>
      <c r="AD32" s="169">
        <v>0</v>
      </c>
      <c r="AE32" s="171">
        <f t="shared" si="38"/>
        <v>0</v>
      </c>
      <c r="AF32" s="182">
        <v>0</v>
      </c>
      <c r="AG32" s="182">
        <f t="shared" si="39"/>
        <v>0</v>
      </c>
      <c r="AH32" s="182">
        <f t="shared" si="40"/>
        <v>0</v>
      </c>
      <c r="AI32" s="182">
        <v>0</v>
      </c>
      <c r="AJ32" s="171">
        <f t="shared" si="41"/>
        <v>1.0745</v>
      </c>
      <c r="AK32" s="171">
        <f t="shared" si="42"/>
        <v>5.830500000000001</v>
      </c>
      <c r="AL32" s="171">
        <f t="shared" si="43"/>
        <v>0.3720909500575751</v>
      </c>
      <c r="AM32" s="171">
        <f t="shared" si="44"/>
        <v>6.2025909500575755</v>
      </c>
      <c r="AN32" s="81">
        <f t="shared" si="45"/>
        <v>6.2025909500575755</v>
      </c>
      <c r="AO32" s="63">
        <f t="shared" si="46"/>
        <v>4.527</v>
      </c>
      <c r="AP32" s="63">
        <f t="shared" si="47"/>
        <v>4.527</v>
      </c>
      <c r="AQ32" s="63">
        <f t="shared" si="48"/>
        <v>0</v>
      </c>
      <c r="AR32" s="63">
        <f t="shared" si="49"/>
        <v>1.6755909500575754</v>
      </c>
      <c r="AS32" s="67">
        <f t="shared" si="11"/>
        <v>35.5763854636149</v>
      </c>
      <c r="AT32" s="65">
        <f ca="1" t="shared" si="12"/>
        <v>1.03</v>
      </c>
      <c r="AU32" s="66">
        <f ca="1" t="shared" si="50"/>
        <v>4.66281</v>
      </c>
      <c r="AV32" s="66">
        <f ca="1" t="shared" si="51"/>
        <v>4.66281</v>
      </c>
      <c r="AW32" s="66">
        <f ca="1" t="shared" si="52"/>
        <v>0</v>
      </c>
      <c r="AX32" s="63">
        <f ca="1" t="shared" si="53"/>
        <v>1.5397809500575752</v>
      </c>
      <c r="AY32" s="67">
        <f ca="1" t="shared" si="13"/>
        <v>36.38031310262951</v>
      </c>
      <c r="AZ32" s="65">
        <f ca="1" t="shared" si="54"/>
        <v>0.0225972264618286</v>
      </c>
      <c r="BA32" s="68">
        <f ca="1" t="shared" si="14"/>
        <v>-0.2534706898833745</v>
      </c>
      <c r="BB32" s="169">
        <f t="shared" si="55"/>
        <v>2.378</v>
      </c>
      <c r="BC32" s="169">
        <f t="shared" si="56"/>
        <v>4.756</v>
      </c>
      <c r="BD32" s="169">
        <v>0</v>
      </c>
      <c r="BE32" s="171">
        <f t="shared" si="57"/>
        <v>0</v>
      </c>
      <c r="BF32" s="182">
        <v>0</v>
      </c>
      <c r="BG32" s="182">
        <f t="shared" si="58"/>
        <v>0</v>
      </c>
      <c r="BH32" s="182">
        <f t="shared" si="59"/>
        <v>0</v>
      </c>
      <c r="BI32" s="169">
        <f t="shared" si="60"/>
        <v>0.53725</v>
      </c>
      <c r="BJ32" s="171">
        <f t="shared" si="61"/>
        <v>5.2932500000000005</v>
      </c>
      <c r="BK32" s="171">
        <f t="shared" si="62"/>
        <v>0.10155830991987586</v>
      </c>
      <c r="BL32" s="171">
        <f t="shared" si="63"/>
        <v>5.394808309919877</v>
      </c>
      <c r="BM32" s="81">
        <f t="shared" si="64"/>
        <v>5.394808309919877</v>
      </c>
      <c r="BN32" s="63">
        <f t="shared" si="15"/>
        <v>4.527</v>
      </c>
      <c r="BO32" s="63">
        <f t="shared" si="65"/>
        <v>4.527</v>
      </c>
      <c r="BP32" s="63">
        <f t="shared" si="66"/>
        <v>0</v>
      </c>
      <c r="BQ32" s="63">
        <f t="shared" si="67"/>
        <v>0.8678083099198766</v>
      </c>
      <c r="BR32" s="67">
        <f t="shared" si="68"/>
        <v>34.790963136607154</v>
      </c>
      <c r="BS32" s="69">
        <f ca="1" t="shared" si="16"/>
        <v>1.03</v>
      </c>
      <c r="BT32" s="66">
        <f ca="1" t="shared" si="69"/>
        <v>4.66281</v>
      </c>
      <c r="BU32" s="66">
        <f ca="1" t="shared" si="70"/>
        <v>4.66281</v>
      </c>
      <c r="BV32" s="66">
        <f ca="1" t="shared" si="71"/>
        <v>0</v>
      </c>
      <c r="BW32" s="63">
        <f ca="1" t="shared" si="72"/>
        <v>0.7319983099198764</v>
      </c>
      <c r="BX32" s="67">
        <f ca="1" t="shared" si="17"/>
        <v>35.05800570624853</v>
      </c>
      <c r="BY32" s="65">
        <f ca="1" t="shared" si="73"/>
        <v>0.007675630266193778</v>
      </c>
      <c r="BZ32" s="68">
        <f ca="1" t="shared" si="18"/>
        <v>-0.2806046297589787</v>
      </c>
      <c r="CA32" s="81">
        <f t="shared" si="74"/>
        <v>4.527</v>
      </c>
      <c r="CB32" s="63">
        <f t="shared" si="75"/>
        <v>4.527</v>
      </c>
      <c r="CC32" s="67">
        <f t="shared" si="76"/>
        <v>35.90132553133049</v>
      </c>
      <c r="CD32" s="69">
        <f ca="1" t="shared" si="19"/>
        <v>1.03</v>
      </c>
      <c r="CE32" s="190">
        <f ca="1" t="shared" si="77"/>
        <v>4.66281</v>
      </c>
      <c r="CF32" s="70">
        <f ca="1" t="shared" si="78"/>
        <v>4.66281</v>
      </c>
      <c r="CG32" s="67">
        <f ca="1" t="shared" si="79"/>
        <v>39.30481757441425</v>
      </c>
      <c r="CH32" s="65">
        <f ca="1" t="shared" si="80"/>
        <v>0.09480129194989151</v>
      </c>
      <c r="CI32" s="65">
        <f ca="1" t="shared" si="20"/>
        <v>-0.19345943325687098</v>
      </c>
      <c r="CJ32" s="68">
        <f ca="1" t="shared" si="81"/>
        <v>0.12113672134546993</v>
      </c>
      <c r="CL32" s="97">
        <f ca="1" t="shared" si="21"/>
        <v>1990542.223122307</v>
      </c>
      <c r="CM32" s="97">
        <f ca="1" t="shared" si="22"/>
        <v>1485998.11258551</v>
      </c>
      <c r="CN32" s="97">
        <f ca="1" t="shared" si="23"/>
        <v>1431986.859583458</v>
      </c>
      <c r="CO32" s="97">
        <f ca="1" t="shared" si="82"/>
        <v>1605453.0527631938</v>
      </c>
      <c r="CQ32" s="97">
        <f t="shared" si="24"/>
        <v>1895451.612431991</v>
      </c>
      <c r="CR32" s="97">
        <f t="shared" si="25"/>
        <v>1410835.6416655537</v>
      </c>
      <c r="CS32" s="97">
        <f t="shared" si="26"/>
        <v>1379688.5254461244</v>
      </c>
      <c r="CT32" s="97">
        <f t="shared" si="83"/>
        <v>1423721.6339597185</v>
      </c>
      <c r="CV32" s="97">
        <f ca="1" t="shared" si="27"/>
        <v>1990542.223122307</v>
      </c>
      <c r="CW32" s="97">
        <f ca="1" t="shared" si="84"/>
        <v>1485998.11258551</v>
      </c>
      <c r="CX32" s="97">
        <f ca="1" t="shared" si="85"/>
        <v>1485998.11258551</v>
      </c>
      <c r="CY32" s="97">
        <f ca="1" t="shared" si="86"/>
        <v>1605453.0527631936</v>
      </c>
    </row>
    <row r="33" spans="2:103" ht="12.75">
      <c r="B33" s="14">
        <v>10066</v>
      </c>
      <c r="C33" s="15" t="s">
        <v>32</v>
      </c>
      <c r="D33" s="16">
        <f>RHWM!D20</f>
        <v>1</v>
      </c>
      <c r="E33" s="16">
        <f>RHWM!E20</f>
        <v>0</v>
      </c>
      <c r="F33" s="18">
        <f>RHWM!M20</f>
        <v>25.176</v>
      </c>
      <c r="G33" s="18">
        <f>RHWM!N20</f>
        <v>25.316</v>
      </c>
      <c r="H33" s="18">
        <f>RHWM!O20</f>
        <v>24.371</v>
      </c>
      <c r="I33" s="18">
        <v>0.805</v>
      </c>
      <c r="J33" s="18">
        <v>0.945</v>
      </c>
      <c r="K33" s="18">
        <v>0.805</v>
      </c>
      <c r="L33" s="18">
        <v>0.945</v>
      </c>
      <c r="M33" s="18">
        <v>0</v>
      </c>
      <c r="N33" s="18">
        <v>0</v>
      </c>
      <c r="O33" s="81">
        <f t="shared" si="28"/>
        <v>24.371</v>
      </c>
      <c r="P33" s="63">
        <f t="shared" si="29"/>
        <v>25.316</v>
      </c>
      <c r="Q33" s="63">
        <f t="shared" si="30"/>
        <v>24.371</v>
      </c>
      <c r="R33" s="63">
        <f t="shared" si="31"/>
        <v>0.9450000000000003</v>
      </c>
      <c r="S33" s="63">
        <f t="shared" si="32"/>
        <v>0</v>
      </c>
      <c r="T33" s="67">
        <f t="shared" si="6"/>
        <v>35.03796197757721</v>
      </c>
      <c r="U33" s="138">
        <f ca="1" t="shared" si="7"/>
        <v>1.25</v>
      </c>
      <c r="V33" s="66">
        <f ca="1" t="shared" si="8"/>
        <v>31.645</v>
      </c>
      <c r="W33" s="66">
        <f ca="1" t="shared" si="33"/>
        <v>24.371</v>
      </c>
      <c r="X33" s="66">
        <f ca="1" t="shared" si="34"/>
        <v>7.274000000000001</v>
      </c>
      <c r="Y33" s="63">
        <f ca="1" t="shared" si="35"/>
        <v>0</v>
      </c>
      <c r="Z33" s="67">
        <f ca="1" t="shared" si="9"/>
        <v>41.39366441380323</v>
      </c>
      <c r="AA33" s="68">
        <f ca="1" t="shared" si="10"/>
        <v>0.18139475236297686</v>
      </c>
      <c r="AB33" s="169">
        <f t="shared" si="36"/>
        <v>24.371</v>
      </c>
      <c r="AC33" s="169">
        <f t="shared" si="37"/>
        <v>24.371</v>
      </c>
      <c r="AD33" s="169">
        <v>0.066</v>
      </c>
      <c r="AE33" s="171">
        <f t="shared" si="38"/>
        <v>0.033</v>
      </c>
      <c r="AF33" s="182">
        <v>0</v>
      </c>
      <c r="AG33" s="182">
        <f t="shared" si="39"/>
        <v>0</v>
      </c>
      <c r="AH33" s="182">
        <f t="shared" si="40"/>
        <v>0</v>
      </c>
      <c r="AI33" s="182">
        <v>0</v>
      </c>
      <c r="AJ33" s="171">
        <f t="shared" si="41"/>
        <v>0.47250000000000014</v>
      </c>
      <c r="AK33" s="171">
        <f t="shared" si="42"/>
        <v>24.8765</v>
      </c>
      <c r="AL33" s="171">
        <f t="shared" si="43"/>
        <v>1.5875689081737872</v>
      </c>
      <c r="AM33" s="171">
        <f t="shared" si="44"/>
        <v>26.464068908173786</v>
      </c>
      <c r="AN33" s="81">
        <f t="shared" si="45"/>
        <v>26.464068908173786</v>
      </c>
      <c r="AO33" s="63">
        <f t="shared" si="46"/>
        <v>25.316</v>
      </c>
      <c r="AP33" s="63">
        <f t="shared" si="47"/>
        <v>25.316</v>
      </c>
      <c r="AQ33" s="63">
        <f t="shared" si="48"/>
        <v>0</v>
      </c>
      <c r="AR33" s="63">
        <f t="shared" si="49"/>
        <v>1.1480689081737872</v>
      </c>
      <c r="AS33" s="67">
        <f t="shared" si="11"/>
        <v>35.5763854636149</v>
      </c>
      <c r="AT33" s="65">
        <f ca="1" t="shared" si="12"/>
        <v>1.25</v>
      </c>
      <c r="AU33" s="66">
        <f ca="1" t="shared" si="50"/>
        <v>31.645</v>
      </c>
      <c r="AV33" s="66">
        <f ca="1" t="shared" si="51"/>
        <v>26.464068908173786</v>
      </c>
      <c r="AW33" s="66">
        <f ca="1" t="shared" si="52"/>
        <v>5.1809310918262135</v>
      </c>
      <c r="AX33" s="63">
        <f ca="1" t="shared" si="53"/>
        <v>0</v>
      </c>
      <c r="AY33" s="67">
        <f ca="1" t="shared" si="13"/>
        <v>40.75814452093524</v>
      </c>
      <c r="AZ33" s="65">
        <f ca="1" t="shared" si="54"/>
        <v>0.14565164475800652</v>
      </c>
      <c r="BA33" s="68">
        <f ca="1" t="shared" si="14"/>
        <v>-0.015353071583970923</v>
      </c>
      <c r="BB33" s="169">
        <f t="shared" si="55"/>
        <v>24.371</v>
      </c>
      <c r="BC33" s="169">
        <f t="shared" si="56"/>
        <v>24.371</v>
      </c>
      <c r="BD33" s="169">
        <v>0.066</v>
      </c>
      <c r="BE33" s="171">
        <f t="shared" si="57"/>
        <v>0.033</v>
      </c>
      <c r="BF33" s="182">
        <v>0</v>
      </c>
      <c r="BG33" s="182">
        <f t="shared" si="58"/>
        <v>0</v>
      </c>
      <c r="BH33" s="182">
        <f t="shared" si="59"/>
        <v>0</v>
      </c>
      <c r="BI33" s="169">
        <f t="shared" si="60"/>
        <v>0.23625000000000007</v>
      </c>
      <c r="BJ33" s="171">
        <f t="shared" si="61"/>
        <v>24.64025</v>
      </c>
      <c r="BK33" s="171">
        <f t="shared" si="62"/>
        <v>0.472757218344726</v>
      </c>
      <c r="BL33" s="171">
        <f t="shared" si="63"/>
        <v>25.113007218344727</v>
      </c>
      <c r="BM33" s="81">
        <f t="shared" si="64"/>
        <v>25.113007218344727</v>
      </c>
      <c r="BN33" s="63">
        <f t="shared" si="15"/>
        <v>25.316</v>
      </c>
      <c r="BO33" s="63">
        <f t="shared" si="65"/>
        <v>25.113007218344727</v>
      </c>
      <c r="BP33" s="63">
        <f t="shared" si="66"/>
        <v>0.20299278165527213</v>
      </c>
      <c r="BQ33" s="63">
        <f t="shared" si="67"/>
        <v>0</v>
      </c>
      <c r="BR33" s="67">
        <f t="shared" si="68"/>
        <v>35.01811553013357</v>
      </c>
      <c r="BS33" s="69">
        <f ca="1" t="shared" si="16"/>
        <v>1.25</v>
      </c>
      <c r="BT33" s="66">
        <f ca="1" t="shared" si="69"/>
        <v>31.645</v>
      </c>
      <c r="BU33" s="66">
        <f ca="1" t="shared" si="70"/>
        <v>25.113007218344727</v>
      </c>
      <c r="BV33" s="66">
        <f ca="1" t="shared" si="71"/>
        <v>6.531992781655273</v>
      </c>
      <c r="BW33" s="63">
        <f ca="1" t="shared" si="72"/>
        <v>0</v>
      </c>
      <c r="BX33" s="67">
        <f ca="1" t="shared" si="17"/>
        <v>40.85041348522265</v>
      </c>
      <c r="BY33" s="65">
        <f ca="1" t="shared" si="73"/>
        <v>0.16655087993156892</v>
      </c>
      <c r="BZ33" s="68">
        <f ca="1" t="shared" si="18"/>
        <v>-0.013124011519004886</v>
      </c>
      <c r="CA33" s="81">
        <f t="shared" si="74"/>
        <v>25.316</v>
      </c>
      <c r="CB33" s="63">
        <f t="shared" si="75"/>
        <v>25.316</v>
      </c>
      <c r="CC33" s="67">
        <f t="shared" si="76"/>
        <v>35.90132553133049</v>
      </c>
      <c r="CD33" s="69">
        <f ca="1" t="shared" si="19"/>
        <v>1.25</v>
      </c>
      <c r="CE33" s="190">
        <f ca="1" t="shared" si="77"/>
        <v>31.645</v>
      </c>
      <c r="CF33" s="70">
        <f ca="1" t="shared" si="78"/>
        <v>31.645</v>
      </c>
      <c r="CG33" s="67">
        <f ca="1" t="shared" si="79"/>
        <v>39.30481757441425</v>
      </c>
      <c r="CH33" s="65">
        <f ca="1" t="shared" si="80"/>
        <v>0.09480129194989151</v>
      </c>
      <c r="CI33" s="65">
        <f ca="1" t="shared" si="20"/>
        <v>-0.05046296018896135</v>
      </c>
      <c r="CJ33" s="68">
        <f ca="1" t="shared" si="81"/>
        <v>-0.03783550223714405</v>
      </c>
      <c r="CL33" s="97">
        <f ca="1" t="shared" si="21"/>
        <v>11474745.990883276</v>
      </c>
      <c r="CM33" s="97">
        <f ca="1" t="shared" si="22"/>
        <v>11298573.39427736</v>
      </c>
      <c r="CN33" s="97">
        <f ca="1" t="shared" si="23"/>
        <v>11324151.292321268</v>
      </c>
      <c r="CO33" s="97">
        <f ca="1" t="shared" si="82"/>
        <v>10895696.340766888</v>
      </c>
      <c r="CQ33" s="97">
        <f t="shared" si="24"/>
        <v>7770304.357917259</v>
      </c>
      <c r="CR33" s="97">
        <f t="shared" si="25"/>
        <v>7889709.5437166225</v>
      </c>
      <c r="CS33" s="97">
        <f t="shared" si="26"/>
        <v>7765903.047785147</v>
      </c>
      <c r="CT33" s="97">
        <f t="shared" si="83"/>
        <v>7961770.904644186</v>
      </c>
      <c r="CV33" s="97">
        <f ca="1" t="shared" si="27"/>
        <v>11474745.990883276</v>
      </c>
      <c r="CW33" s="97">
        <f ca="1" t="shared" si="84"/>
        <v>11298573.394277362</v>
      </c>
      <c r="CX33" s="97">
        <f ca="1" t="shared" si="85"/>
        <v>11298573.394277362</v>
      </c>
      <c r="CY33" s="97">
        <f ca="1" t="shared" si="86"/>
        <v>10895696.34076689</v>
      </c>
    </row>
    <row r="34" spans="2:103" ht="12.75">
      <c r="B34" s="14">
        <v>10067</v>
      </c>
      <c r="C34" s="15" t="s">
        <v>33</v>
      </c>
      <c r="D34" s="16">
        <f>RHWM!D21</f>
        <v>1</v>
      </c>
      <c r="E34" s="16">
        <f>RHWM!E21</f>
        <v>0</v>
      </c>
      <c r="F34" s="18">
        <f>RHWM!M21</f>
        <v>17.448</v>
      </c>
      <c r="G34" s="18">
        <f>RHWM!N21</f>
        <v>17.911</v>
      </c>
      <c r="H34" s="18">
        <f>RHWM!O21</f>
        <v>15.817</v>
      </c>
      <c r="I34" s="18">
        <f>MAX(F34-$H34,0)</f>
        <v>1.6310000000000002</v>
      </c>
      <c r="J34" s="18">
        <f>MAX(G34-$H34,0)</f>
        <v>2.094000000000001</v>
      </c>
      <c r="K34" s="18">
        <v>0</v>
      </c>
      <c r="L34" s="18">
        <v>0</v>
      </c>
      <c r="M34" s="18">
        <f>I34</f>
        <v>1.6310000000000002</v>
      </c>
      <c r="N34" s="18">
        <f>J34</f>
        <v>2.094000000000001</v>
      </c>
      <c r="O34" s="81">
        <f t="shared" si="28"/>
        <v>15.817</v>
      </c>
      <c r="P34" s="63">
        <f t="shared" si="29"/>
        <v>17.911</v>
      </c>
      <c r="Q34" s="63">
        <f t="shared" si="30"/>
        <v>15.817</v>
      </c>
      <c r="R34" s="63">
        <f t="shared" si="31"/>
        <v>2.094000000000001</v>
      </c>
      <c r="S34" s="63">
        <f t="shared" si="32"/>
        <v>0</v>
      </c>
      <c r="T34" s="67">
        <f t="shared" si="6"/>
        <v>37.35947907004658</v>
      </c>
      <c r="U34" s="138">
        <f ca="1" t="shared" si="7"/>
        <v>1.08</v>
      </c>
      <c r="V34" s="66">
        <f ca="1" t="shared" si="8"/>
        <v>19.343880000000002</v>
      </c>
      <c r="W34" s="66">
        <f ca="1" t="shared" si="33"/>
        <v>15.817</v>
      </c>
      <c r="X34" s="66">
        <f ca="1" t="shared" si="34"/>
        <v>3.526880000000002</v>
      </c>
      <c r="Y34" s="63">
        <f ca="1" t="shared" si="35"/>
        <v>0</v>
      </c>
      <c r="Z34" s="67">
        <f ca="1" t="shared" si="9"/>
        <v>40.05259403003929</v>
      </c>
      <c r="AA34" s="68">
        <f ca="1" t="shared" si="10"/>
        <v>0.07208652334105858</v>
      </c>
      <c r="AB34" s="169">
        <f t="shared" si="36"/>
        <v>15.817</v>
      </c>
      <c r="AC34" s="169">
        <f t="shared" si="37"/>
        <v>15.817</v>
      </c>
      <c r="AD34" s="169">
        <v>0.008</v>
      </c>
      <c r="AE34" s="171">
        <f t="shared" si="38"/>
        <v>0.004</v>
      </c>
      <c r="AF34" s="182">
        <v>0</v>
      </c>
      <c r="AG34" s="182">
        <f t="shared" si="39"/>
        <v>0</v>
      </c>
      <c r="AH34" s="182">
        <f t="shared" si="40"/>
        <v>0</v>
      </c>
      <c r="AI34" s="182">
        <v>0</v>
      </c>
      <c r="AJ34" s="171">
        <f t="shared" si="41"/>
        <v>1.0470000000000006</v>
      </c>
      <c r="AK34" s="171">
        <f t="shared" si="42"/>
        <v>16.868000000000002</v>
      </c>
      <c r="AL34" s="171">
        <f t="shared" si="43"/>
        <v>1.076482316365865</v>
      </c>
      <c r="AM34" s="171">
        <f t="shared" si="44"/>
        <v>17.944482316365868</v>
      </c>
      <c r="AN34" s="81">
        <f t="shared" si="45"/>
        <v>17.944482316365868</v>
      </c>
      <c r="AO34" s="63">
        <f t="shared" si="46"/>
        <v>17.911</v>
      </c>
      <c r="AP34" s="63">
        <f t="shared" si="47"/>
        <v>17.911</v>
      </c>
      <c r="AQ34" s="63">
        <f t="shared" si="48"/>
        <v>0</v>
      </c>
      <c r="AR34" s="63">
        <f t="shared" si="49"/>
        <v>0.03348231636586618</v>
      </c>
      <c r="AS34" s="67">
        <f t="shared" si="11"/>
        <v>35.5763854636149</v>
      </c>
      <c r="AT34" s="65">
        <f ca="1" t="shared" si="12"/>
        <v>1.08</v>
      </c>
      <c r="AU34" s="66">
        <f ca="1" t="shared" si="50"/>
        <v>19.343880000000002</v>
      </c>
      <c r="AV34" s="66">
        <f ca="1" t="shared" si="51"/>
        <v>17.944482316365868</v>
      </c>
      <c r="AW34" s="66">
        <f ca="1" t="shared" si="52"/>
        <v>1.3993976836341346</v>
      </c>
      <c r="AX34" s="63">
        <f ca="1" t="shared" si="53"/>
        <v>0</v>
      </c>
      <c r="AY34" s="67">
        <f ca="1" t="shared" si="13"/>
        <v>38.31474693417118</v>
      </c>
      <c r="AZ34" s="65">
        <f ca="1" t="shared" si="54"/>
        <v>0.07697132338969337</v>
      </c>
      <c r="BA34" s="68">
        <f ca="1" t="shared" si="14"/>
        <v>-0.043389127170258335</v>
      </c>
      <c r="BB34" s="169">
        <f t="shared" si="55"/>
        <v>15.817</v>
      </c>
      <c r="BC34" s="169">
        <f t="shared" si="56"/>
        <v>15.817</v>
      </c>
      <c r="BD34" s="169">
        <v>0.008</v>
      </c>
      <c r="BE34" s="171">
        <f t="shared" si="57"/>
        <v>0.004</v>
      </c>
      <c r="BF34" s="182">
        <v>0</v>
      </c>
      <c r="BG34" s="182">
        <f t="shared" si="58"/>
        <v>0</v>
      </c>
      <c r="BH34" s="182">
        <f t="shared" si="59"/>
        <v>0</v>
      </c>
      <c r="BI34" s="169">
        <f t="shared" si="60"/>
        <v>0.5235000000000003</v>
      </c>
      <c r="BJ34" s="171">
        <f t="shared" si="61"/>
        <v>16.3445</v>
      </c>
      <c r="BK34" s="171">
        <f t="shared" si="62"/>
        <v>0.3135918002145016</v>
      </c>
      <c r="BL34" s="171">
        <f t="shared" si="63"/>
        <v>16.658091800214503</v>
      </c>
      <c r="BM34" s="81">
        <f t="shared" si="64"/>
        <v>16.658091800214503</v>
      </c>
      <c r="BN34" s="63">
        <f t="shared" si="15"/>
        <v>17.911</v>
      </c>
      <c r="BO34" s="63">
        <f t="shared" si="65"/>
        <v>16.658091800214503</v>
      </c>
      <c r="BP34" s="63">
        <f t="shared" si="66"/>
        <v>1.252908199785498</v>
      </c>
      <c r="BQ34" s="63">
        <f t="shared" si="67"/>
        <v>0</v>
      </c>
      <c r="BR34" s="67">
        <f t="shared" si="68"/>
        <v>36.77263264574514</v>
      </c>
      <c r="BS34" s="69">
        <f ca="1" t="shared" si="16"/>
        <v>1.08</v>
      </c>
      <c r="BT34" s="66">
        <f ca="1" t="shared" si="69"/>
        <v>19.343880000000002</v>
      </c>
      <c r="BU34" s="66">
        <f ca="1" t="shared" si="70"/>
        <v>16.658091800214503</v>
      </c>
      <c r="BV34" s="66">
        <f ca="1" t="shared" si="71"/>
        <v>2.685788199785499</v>
      </c>
      <c r="BW34" s="63">
        <f ca="1" t="shared" si="72"/>
        <v>0</v>
      </c>
      <c r="BX34" s="67">
        <f ca="1" t="shared" si="17"/>
        <v>38.95425470782452</v>
      </c>
      <c r="BY34" s="65">
        <f ca="1" t="shared" si="73"/>
        <v>0.059327328644004584</v>
      </c>
      <c r="BZ34" s="68">
        <f ca="1" t="shared" si="18"/>
        <v>-0.027422426657085386</v>
      </c>
      <c r="CA34" s="81">
        <f t="shared" si="74"/>
        <v>17.911</v>
      </c>
      <c r="CB34" s="63">
        <f t="shared" si="75"/>
        <v>17.911</v>
      </c>
      <c r="CC34" s="67">
        <f t="shared" si="76"/>
        <v>35.90132553133049</v>
      </c>
      <c r="CD34" s="69">
        <f ca="1" t="shared" si="19"/>
        <v>1.08</v>
      </c>
      <c r="CE34" s="190">
        <f ca="1" t="shared" si="77"/>
        <v>19.343880000000002</v>
      </c>
      <c r="CF34" s="70">
        <f ca="1" t="shared" si="78"/>
        <v>19.343880000000002</v>
      </c>
      <c r="CG34" s="67">
        <f ca="1" t="shared" si="79"/>
        <v>39.30481757441425</v>
      </c>
      <c r="CH34" s="65">
        <f ca="1" t="shared" si="80"/>
        <v>0.09480129194989151</v>
      </c>
      <c r="CI34" s="65">
        <f ca="1" t="shared" si="20"/>
        <v>-0.018669863306836176</v>
      </c>
      <c r="CJ34" s="68">
        <f ca="1" t="shared" si="81"/>
        <v>0.008999347291306803</v>
      </c>
      <c r="CL34" s="97">
        <f ca="1" t="shared" si="21"/>
        <v>6787007.736026777</v>
      </c>
      <c r="CM34" s="97">
        <f ca="1" t="shared" si="22"/>
        <v>6492525.394262783</v>
      </c>
      <c r="CN34" s="97">
        <f ca="1" t="shared" si="23"/>
        <v>6600891.514164511</v>
      </c>
      <c r="CO34" s="97">
        <f ca="1" t="shared" si="82"/>
        <v>6660295.229332717</v>
      </c>
      <c r="CQ34" s="97">
        <f t="shared" si="24"/>
        <v>5861715.715502774</v>
      </c>
      <c r="CR34" s="97">
        <f t="shared" si="25"/>
        <v>5581947.686739945</v>
      </c>
      <c r="CS34" s="97">
        <f t="shared" si="26"/>
        <v>5769639.300265166</v>
      </c>
      <c r="CT34" s="97">
        <f t="shared" si="83"/>
        <v>5632930.900342946</v>
      </c>
      <c r="CV34" s="97">
        <f ca="1" t="shared" si="27"/>
        <v>6787007.736026777</v>
      </c>
      <c r="CW34" s="97">
        <f ca="1" t="shared" si="84"/>
        <v>6492525.394262784</v>
      </c>
      <c r="CX34" s="97">
        <f ca="1" t="shared" si="85"/>
        <v>6492525.394262784</v>
      </c>
      <c r="CY34" s="97">
        <f ca="1" t="shared" si="86"/>
        <v>6660295.229332717</v>
      </c>
    </row>
    <row r="35" spans="2:103" ht="12.75">
      <c r="B35" s="14">
        <v>10068</v>
      </c>
      <c r="C35" s="15" t="s">
        <v>34</v>
      </c>
      <c r="D35" s="16">
        <f>RHWM!D22</f>
        <v>1</v>
      </c>
      <c r="E35" s="16">
        <f>RHWM!E22</f>
        <v>0</v>
      </c>
      <c r="F35" s="18">
        <f>RHWM!M22</f>
        <v>2.522</v>
      </c>
      <c r="G35" s="18">
        <f>RHWM!N22</f>
        <v>2.52</v>
      </c>
      <c r="H35" s="18">
        <f>RHWM!O22</f>
        <v>2.77</v>
      </c>
      <c r="I35" s="18">
        <v>0</v>
      </c>
      <c r="J35" s="18">
        <v>0</v>
      </c>
      <c r="K35" s="18">
        <v>0</v>
      </c>
      <c r="L35" s="18">
        <v>0</v>
      </c>
      <c r="M35" s="18">
        <v>0</v>
      </c>
      <c r="N35" s="18">
        <v>0</v>
      </c>
      <c r="O35" s="81">
        <f t="shared" si="28"/>
        <v>2.77</v>
      </c>
      <c r="P35" s="63">
        <f t="shared" si="29"/>
        <v>2.52</v>
      </c>
      <c r="Q35" s="63">
        <f t="shared" si="30"/>
        <v>2.52</v>
      </c>
      <c r="R35" s="63">
        <f t="shared" si="31"/>
        <v>0</v>
      </c>
      <c r="S35" s="63">
        <f t="shared" si="32"/>
        <v>0.25</v>
      </c>
      <c r="T35" s="67">
        <f t="shared" si="6"/>
        <v>33.949064274110405</v>
      </c>
      <c r="U35" s="138">
        <f ca="1" t="shared" si="7"/>
        <v>1.03</v>
      </c>
      <c r="V35" s="66">
        <f ca="1" t="shared" si="8"/>
        <v>2.5956</v>
      </c>
      <c r="W35" s="66">
        <f ca="1" t="shared" si="33"/>
        <v>2.5956</v>
      </c>
      <c r="X35" s="66">
        <f ca="1" t="shared" si="34"/>
        <v>0</v>
      </c>
      <c r="Y35" s="63">
        <f ca="1" t="shared" si="35"/>
        <v>0.1743999999999999</v>
      </c>
      <c r="Z35" s="67">
        <f ca="1" t="shared" si="9"/>
        <v>34.90901605903751</v>
      </c>
      <c r="AA35" s="68">
        <f ca="1" t="shared" si="10"/>
        <v>0.028276236928838294</v>
      </c>
      <c r="AB35" s="169">
        <f t="shared" si="36"/>
        <v>2.52</v>
      </c>
      <c r="AC35" s="169">
        <f t="shared" si="37"/>
        <v>5</v>
      </c>
      <c r="AD35" s="169">
        <v>0</v>
      </c>
      <c r="AE35" s="171">
        <f t="shared" si="38"/>
        <v>0</v>
      </c>
      <c r="AF35" s="182">
        <v>0</v>
      </c>
      <c r="AG35" s="182">
        <f t="shared" si="39"/>
        <v>0</v>
      </c>
      <c r="AH35" s="182">
        <f t="shared" si="40"/>
        <v>0</v>
      </c>
      <c r="AI35" s="182">
        <v>0</v>
      </c>
      <c r="AJ35" s="171">
        <f t="shared" si="41"/>
        <v>0</v>
      </c>
      <c r="AK35" s="171">
        <f t="shared" si="42"/>
        <v>5</v>
      </c>
      <c r="AL35" s="171">
        <f t="shared" si="43"/>
        <v>0.31909008666287203</v>
      </c>
      <c r="AM35" s="171">
        <f t="shared" si="44"/>
        <v>5.319090086662872</v>
      </c>
      <c r="AN35" s="81">
        <f t="shared" si="45"/>
        <v>5.319090086662872</v>
      </c>
      <c r="AO35" s="63">
        <f t="shared" si="46"/>
        <v>2.52</v>
      </c>
      <c r="AP35" s="63">
        <f t="shared" si="47"/>
        <v>2.52</v>
      </c>
      <c r="AQ35" s="63">
        <f t="shared" si="48"/>
        <v>0</v>
      </c>
      <c r="AR35" s="63">
        <f t="shared" si="49"/>
        <v>2.7990900866628716</v>
      </c>
      <c r="AS35" s="67">
        <f t="shared" si="11"/>
        <v>35.5763854636149</v>
      </c>
      <c r="AT35" s="65">
        <f ca="1" t="shared" si="12"/>
        <v>1.03</v>
      </c>
      <c r="AU35" s="66">
        <f ca="1" t="shared" si="50"/>
        <v>2.5956</v>
      </c>
      <c r="AV35" s="66">
        <f ca="1" t="shared" si="51"/>
        <v>2.5956</v>
      </c>
      <c r="AW35" s="66">
        <f ca="1" t="shared" si="52"/>
        <v>0</v>
      </c>
      <c r="AX35" s="63">
        <f ca="1" t="shared" si="53"/>
        <v>2.7234900866628715</v>
      </c>
      <c r="AY35" s="67">
        <f ca="1" t="shared" si="13"/>
        <v>36.38031310262951</v>
      </c>
      <c r="AZ35" s="65">
        <f ca="1" t="shared" si="54"/>
        <v>0.0225972264618286</v>
      </c>
      <c r="BA35" s="68">
        <f ca="1" t="shared" si="14"/>
        <v>0.0421466202629075</v>
      </c>
      <c r="BB35" s="169">
        <f t="shared" si="55"/>
        <v>2.52</v>
      </c>
      <c r="BC35" s="169">
        <f t="shared" si="56"/>
        <v>5</v>
      </c>
      <c r="BD35" s="169">
        <v>0</v>
      </c>
      <c r="BE35" s="171">
        <f t="shared" si="57"/>
        <v>0</v>
      </c>
      <c r="BF35" s="182">
        <v>0</v>
      </c>
      <c r="BG35" s="182">
        <f t="shared" si="58"/>
        <v>0</v>
      </c>
      <c r="BH35" s="182">
        <f t="shared" si="59"/>
        <v>0</v>
      </c>
      <c r="BI35" s="169">
        <f t="shared" si="60"/>
        <v>0</v>
      </c>
      <c r="BJ35" s="171">
        <f t="shared" si="61"/>
        <v>5</v>
      </c>
      <c r="BK35" s="171">
        <f t="shared" si="62"/>
        <v>0.09593190376411076</v>
      </c>
      <c r="BL35" s="171">
        <f t="shared" si="63"/>
        <v>5.095931903764111</v>
      </c>
      <c r="BM35" s="81">
        <f t="shared" si="64"/>
        <v>5.095931903764111</v>
      </c>
      <c r="BN35" s="63">
        <f t="shared" si="15"/>
        <v>2.52</v>
      </c>
      <c r="BO35" s="63">
        <f t="shared" si="65"/>
        <v>2.52</v>
      </c>
      <c r="BP35" s="63">
        <f t="shared" si="66"/>
        <v>0</v>
      </c>
      <c r="BQ35" s="63">
        <f t="shared" si="67"/>
        <v>2.575931903764111</v>
      </c>
      <c r="BR35" s="67">
        <f t="shared" si="68"/>
        <v>34.790963136607154</v>
      </c>
      <c r="BS35" s="69">
        <f ca="1" t="shared" si="16"/>
        <v>1.03</v>
      </c>
      <c r="BT35" s="66">
        <f ca="1" t="shared" si="69"/>
        <v>2.5956</v>
      </c>
      <c r="BU35" s="66">
        <f ca="1" t="shared" si="70"/>
        <v>2.5956</v>
      </c>
      <c r="BV35" s="66">
        <f ca="1" t="shared" si="71"/>
        <v>0</v>
      </c>
      <c r="BW35" s="63">
        <f ca="1" t="shared" si="72"/>
        <v>2.5003319037641107</v>
      </c>
      <c r="BX35" s="67">
        <f ca="1" t="shared" si="17"/>
        <v>35.05800570624853</v>
      </c>
      <c r="BY35" s="65">
        <f ca="1" t="shared" si="73"/>
        <v>0.007675630266193778</v>
      </c>
      <c r="BZ35" s="68">
        <f ca="1" t="shared" si="18"/>
        <v>0.0042679417534727815</v>
      </c>
      <c r="CA35" s="81">
        <f t="shared" si="74"/>
        <v>2.52</v>
      </c>
      <c r="CB35" s="63">
        <f t="shared" si="75"/>
        <v>2.52</v>
      </c>
      <c r="CC35" s="67">
        <f t="shared" si="76"/>
        <v>35.90132553133049</v>
      </c>
      <c r="CD35" s="69">
        <f ca="1" t="shared" si="19"/>
        <v>1.03</v>
      </c>
      <c r="CE35" s="190">
        <f ca="1" t="shared" si="77"/>
        <v>2.5956</v>
      </c>
      <c r="CF35" s="70">
        <f ca="1" t="shared" si="78"/>
        <v>2.5956</v>
      </c>
      <c r="CG35" s="67">
        <f ca="1" t="shared" si="79"/>
        <v>39.30481757441425</v>
      </c>
      <c r="CH35" s="65">
        <f ca="1" t="shared" si="80"/>
        <v>0.09480129194989151</v>
      </c>
      <c r="CI35" s="65">
        <f ca="1" t="shared" si="20"/>
        <v>0.1259216675698518</v>
      </c>
      <c r="CJ35" s="68">
        <f ca="1" t="shared" si="81"/>
        <v>0.12113672134546993</v>
      </c>
      <c r="CL35" s="97">
        <f ca="1" t="shared" si="21"/>
        <v>793742.2166456588</v>
      </c>
      <c r="CM35" s="97">
        <f ca="1" t="shared" si="22"/>
        <v>827195.768437262</v>
      </c>
      <c r="CN35" s="97">
        <f ca="1" t="shared" si="23"/>
        <v>797129.8621935749</v>
      </c>
      <c r="CO35" s="97">
        <f ca="1" t="shared" si="82"/>
        <v>893691.5601862707</v>
      </c>
      <c r="CQ35" s="97">
        <f t="shared" si="24"/>
        <v>749432.383663842</v>
      </c>
      <c r="CR35" s="97">
        <f t="shared" si="25"/>
        <v>785355.8243863917</v>
      </c>
      <c r="CS35" s="97">
        <f t="shared" si="26"/>
        <v>768017.4694332302</v>
      </c>
      <c r="CT35" s="97">
        <f t="shared" si="83"/>
        <v>792528.9413692269</v>
      </c>
      <c r="CV35" s="97">
        <f ca="1" t="shared" si="27"/>
        <v>793742.2166456588</v>
      </c>
      <c r="CW35" s="97">
        <f ca="1" t="shared" si="84"/>
        <v>827195.7684372619</v>
      </c>
      <c r="CX35" s="97">
        <f ca="1" t="shared" si="85"/>
        <v>827195.7684372619</v>
      </c>
      <c r="CY35" s="97">
        <f ca="1" t="shared" si="86"/>
        <v>893691.5601862707</v>
      </c>
    </row>
    <row r="36" spans="2:103" ht="12.75">
      <c r="B36" s="14">
        <v>10070</v>
      </c>
      <c r="C36" s="15" t="s">
        <v>35</v>
      </c>
      <c r="D36" s="16">
        <f>RHWM!D23</f>
        <v>1</v>
      </c>
      <c r="E36" s="16">
        <f>RHWM!E23</f>
        <v>0</v>
      </c>
      <c r="F36" s="18">
        <f>RHWM!M23</f>
        <v>0.389</v>
      </c>
      <c r="G36" s="18">
        <f>RHWM!N23</f>
        <v>0.389</v>
      </c>
      <c r="H36" s="18">
        <f>RHWM!O23</f>
        <v>0.359</v>
      </c>
      <c r="I36" s="18">
        <v>0.03</v>
      </c>
      <c r="J36" s="18">
        <v>0.03</v>
      </c>
      <c r="K36" s="18">
        <v>0.03</v>
      </c>
      <c r="L36" s="18">
        <v>0.03</v>
      </c>
      <c r="M36" s="18">
        <v>0</v>
      </c>
      <c r="N36" s="18">
        <v>0</v>
      </c>
      <c r="O36" s="81">
        <f t="shared" si="28"/>
        <v>0.359</v>
      </c>
      <c r="P36" s="63">
        <f t="shared" si="29"/>
        <v>0.389</v>
      </c>
      <c r="Q36" s="63">
        <f t="shared" si="30"/>
        <v>0.359</v>
      </c>
      <c r="R36" s="63">
        <f t="shared" si="31"/>
        <v>0.030000000000000027</v>
      </c>
      <c r="S36" s="63">
        <f t="shared" si="32"/>
        <v>0</v>
      </c>
      <c r="T36" s="67">
        <f t="shared" si="6"/>
        <v>36.19875083394765</v>
      </c>
      <c r="U36" s="138">
        <f ca="1" t="shared" si="7"/>
        <v>1.21</v>
      </c>
      <c r="V36" s="66">
        <f ca="1" t="shared" si="8"/>
        <v>0.47069</v>
      </c>
      <c r="W36" s="66">
        <f ca="1" t="shared" si="33"/>
        <v>0.359</v>
      </c>
      <c r="X36" s="66">
        <f ca="1" t="shared" si="34"/>
        <v>0.11169000000000001</v>
      </c>
      <c r="Y36" s="63">
        <f ca="1" t="shared" si="35"/>
        <v>0</v>
      </c>
      <c r="Z36" s="67">
        <f ca="1" t="shared" si="9"/>
        <v>41.60319863433357</v>
      </c>
      <c r="AA36" s="68">
        <f ca="1" t="shared" si="10"/>
        <v>0.14929929005499165</v>
      </c>
      <c r="AB36" s="169">
        <f t="shared" si="36"/>
        <v>0.359</v>
      </c>
      <c r="AC36" s="169">
        <f t="shared" si="37"/>
        <v>0.718</v>
      </c>
      <c r="AD36" s="169">
        <v>0</v>
      </c>
      <c r="AE36" s="171">
        <f t="shared" si="38"/>
        <v>0</v>
      </c>
      <c r="AF36" s="182">
        <v>0</v>
      </c>
      <c r="AG36" s="182">
        <f t="shared" si="39"/>
        <v>0</v>
      </c>
      <c r="AH36" s="182">
        <f t="shared" si="40"/>
        <v>0</v>
      </c>
      <c r="AI36" s="182">
        <v>0</v>
      </c>
      <c r="AJ36" s="171">
        <f t="shared" si="41"/>
        <v>0.015000000000000013</v>
      </c>
      <c r="AK36" s="171">
        <f t="shared" si="42"/>
        <v>0.733</v>
      </c>
      <c r="AL36" s="171">
        <f t="shared" si="43"/>
        <v>0.046778606704777036</v>
      </c>
      <c r="AM36" s="171">
        <f t="shared" si="44"/>
        <v>0.779778606704777</v>
      </c>
      <c r="AN36" s="81">
        <f t="shared" si="45"/>
        <v>0.779778606704777</v>
      </c>
      <c r="AO36" s="63">
        <f t="shared" si="46"/>
        <v>0.389</v>
      </c>
      <c r="AP36" s="63">
        <f t="shared" si="47"/>
        <v>0.389</v>
      </c>
      <c r="AQ36" s="63">
        <f t="shared" si="48"/>
        <v>0</v>
      </c>
      <c r="AR36" s="63">
        <f t="shared" si="49"/>
        <v>0.39077860670477704</v>
      </c>
      <c r="AS36" s="67">
        <f t="shared" si="11"/>
        <v>35.5763854636149</v>
      </c>
      <c r="AT36" s="65">
        <f ca="1" t="shared" si="12"/>
        <v>1.21</v>
      </c>
      <c r="AU36" s="66">
        <f ca="1" t="shared" si="50"/>
        <v>0.47069</v>
      </c>
      <c r="AV36" s="66">
        <f ca="1" t="shared" si="51"/>
        <v>0.47069</v>
      </c>
      <c r="AW36" s="66">
        <f ca="1" t="shared" si="52"/>
        <v>0</v>
      </c>
      <c r="AX36" s="63">
        <f ca="1" t="shared" si="53"/>
        <v>0.30908860670477706</v>
      </c>
      <c r="AY36" s="67">
        <f ca="1" t="shared" si="13"/>
        <v>36.38031310262951</v>
      </c>
      <c r="AZ36" s="65">
        <f ca="1" t="shared" si="54"/>
        <v>0.0225972264618286</v>
      </c>
      <c r="BA36" s="68">
        <f ca="1" t="shared" si="14"/>
        <v>-0.12554048013495323</v>
      </c>
      <c r="BB36" s="169">
        <f t="shared" si="55"/>
        <v>0.359</v>
      </c>
      <c r="BC36" s="169">
        <f t="shared" si="56"/>
        <v>0.718</v>
      </c>
      <c r="BD36" s="169">
        <v>0</v>
      </c>
      <c r="BE36" s="171">
        <f t="shared" si="57"/>
        <v>0</v>
      </c>
      <c r="BF36" s="182">
        <v>0</v>
      </c>
      <c r="BG36" s="182">
        <f t="shared" si="58"/>
        <v>0</v>
      </c>
      <c r="BH36" s="182">
        <f t="shared" si="59"/>
        <v>0</v>
      </c>
      <c r="BI36" s="169">
        <f t="shared" si="60"/>
        <v>0.007500000000000007</v>
      </c>
      <c r="BJ36" s="171">
        <f t="shared" si="61"/>
        <v>0.7255</v>
      </c>
      <c r="BK36" s="171">
        <f t="shared" si="62"/>
        <v>0.013919719236172471</v>
      </c>
      <c r="BL36" s="171">
        <f t="shared" si="63"/>
        <v>0.7394197192361726</v>
      </c>
      <c r="BM36" s="81">
        <f t="shared" si="64"/>
        <v>0.7394197192361726</v>
      </c>
      <c r="BN36" s="63">
        <f t="shared" si="15"/>
        <v>0.389</v>
      </c>
      <c r="BO36" s="63">
        <f t="shared" si="65"/>
        <v>0.389</v>
      </c>
      <c r="BP36" s="63">
        <f t="shared" si="66"/>
        <v>0</v>
      </c>
      <c r="BQ36" s="63">
        <f t="shared" si="67"/>
        <v>0.35041971923617254</v>
      </c>
      <c r="BR36" s="67">
        <f t="shared" si="68"/>
        <v>34.790963136607154</v>
      </c>
      <c r="BS36" s="69">
        <f ca="1" t="shared" si="16"/>
        <v>1.21</v>
      </c>
      <c r="BT36" s="66">
        <f ca="1" t="shared" si="69"/>
        <v>0.47069</v>
      </c>
      <c r="BU36" s="66">
        <f ca="1" t="shared" si="70"/>
        <v>0.47069</v>
      </c>
      <c r="BV36" s="66">
        <f ca="1" t="shared" si="71"/>
        <v>0</v>
      </c>
      <c r="BW36" s="63">
        <f ca="1" t="shared" si="72"/>
        <v>0.26872971923617256</v>
      </c>
      <c r="BX36" s="67">
        <f ca="1" t="shared" si="17"/>
        <v>35.05800570624853</v>
      </c>
      <c r="BY36" s="65">
        <f ca="1" t="shared" si="73"/>
        <v>0.007675630266193778</v>
      </c>
      <c r="BZ36" s="68">
        <f ca="1" t="shared" si="18"/>
        <v>-0.1573242717612472</v>
      </c>
      <c r="CA36" s="81">
        <f t="shared" si="74"/>
        <v>0.389</v>
      </c>
      <c r="CB36" s="63">
        <f t="shared" si="75"/>
        <v>0.389</v>
      </c>
      <c r="CC36" s="67">
        <f t="shared" si="76"/>
        <v>35.90132553133049</v>
      </c>
      <c r="CD36" s="69">
        <f ca="1" t="shared" si="19"/>
        <v>1.21</v>
      </c>
      <c r="CE36" s="190">
        <f ca="1" t="shared" si="77"/>
        <v>0.47069</v>
      </c>
      <c r="CF36" s="70">
        <f ca="1" t="shared" si="78"/>
        <v>0.47069</v>
      </c>
      <c r="CG36" s="67">
        <f ca="1" t="shared" si="79"/>
        <v>39.30481757441425</v>
      </c>
      <c r="CH36" s="65">
        <f ca="1" t="shared" si="80"/>
        <v>0.09480129194989151</v>
      </c>
      <c r="CI36" s="65">
        <f ca="1" t="shared" si="20"/>
        <v>-0.05524529688499846</v>
      </c>
      <c r="CJ36" s="68">
        <f ca="1" t="shared" si="81"/>
        <v>0.12113672134546993</v>
      </c>
      <c r="CL36" s="97">
        <f ca="1" t="shared" si="21"/>
        <v>171540.15579110352</v>
      </c>
      <c r="CM36" s="97">
        <f ca="1" t="shared" si="22"/>
        <v>150004.92227066375</v>
      </c>
      <c r="CN36" s="97">
        <f ca="1" t="shared" si="23"/>
        <v>144552.72570345728</v>
      </c>
      <c r="CO36" s="97">
        <f ca="1" t="shared" si="82"/>
        <v>162063.36895672514</v>
      </c>
      <c r="CQ36" s="97">
        <f t="shared" si="24"/>
        <v>123352.31129179338</v>
      </c>
      <c r="CR36" s="97">
        <f t="shared" si="25"/>
        <v>121231.51416123268</v>
      </c>
      <c r="CS36" s="97">
        <f t="shared" si="26"/>
        <v>118555.07762282802</v>
      </c>
      <c r="CT36" s="97">
        <f t="shared" si="83"/>
        <v>122338.79293358306</v>
      </c>
      <c r="CV36" s="97">
        <f ca="1" t="shared" si="27"/>
        <v>171540.15579110355</v>
      </c>
      <c r="CW36" s="97">
        <f ca="1" t="shared" si="84"/>
        <v>150004.92227066372</v>
      </c>
      <c r="CX36" s="97">
        <f ca="1" t="shared" si="85"/>
        <v>150004.92227066372</v>
      </c>
      <c r="CY36" s="97">
        <f ca="1" t="shared" si="86"/>
        <v>162063.36895672514</v>
      </c>
    </row>
    <row r="37" spans="2:103" ht="12.75">
      <c r="B37" s="14">
        <v>10071</v>
      </c>
      <c r="C37" s="15" t="s">
        <v>36</v>
      </c>
      <c r="D37" s="16">
        <f>RHWM!D24</f>
        <v>1</v>
      </c>
      <c r="E37" s="16">
        <f>RHWM!E24</f>
        <v>0</v>
      </c>
      <c r="F37" s="18">
        <f>RHWM!M24</f>
        <v>1.865</v>
      </c>
      <c r="G37" s="18">
        <f>RHWM!N24</f>
        <v>1.864</v>
      </c>
      <c r="H37" s="18">
        <f>RHWM!O24</f>
        <v>1.914</v>
      </c>
      <c r="I37" s="18">
        <v>0</v>
      </c>
      <c r="J37" s="18">
        <v>0</v>
      </c>
      <c r="K37" s="18">
        <v>0</v>
      </c>
      <c r="L37" s="18">
        <v>0</v>
      </c>
      <c r="M37" s="18">
        <v>0</v>
      </c>
      <c r="N37" s="18">
        <v>0</v>
      </c>
      <c r="O37" s="81">
        <f t="shared" si="28"/>
        <v>1.914</v>
      </c>
      <c r="P37" s="63">
        <f t="shared" si="29"/>
        <v>1.864</v>
      </c>
      <c r="Q37" s="63">
        <f t="shared" si="30"/>
        <v>1.864</v>
      </c>
      <c r="R37" s="63">
        <f t="shared" si="31"/>
        <v>0</v>
      </c>
      <c r="S37" s="63">
        <f t="shared" si="32"/>
        <v>0.04999999999999982</v>
      </c>
      <c r="T37" s="67">
        <f t="shared" si="6"/>
        <v>33.949064274110405</v>
      </c>
      <c r="U37" s="138">
        <f ca="1" t="shared" si="7"/>
        <v>1.04</v>
      </c>
      <c r="V37" s="66">
        <f ca="1" t="shared" si="8"/>
        <v>1.93856</v>
      </c>
      <c r="W37" s="66">
        <f ca="1" t="shared" si="33"/>
        <v>1.914</v>
      </c>
      <c r="X37" s="66">
        <f ca="1" t="shared" si="34"/>
        <v>0.024560000000000137</v>
      </c>
      <c r="Y37" s="63">
        <f ca="1" t="shared" si="35"/>
        <v>0</v>
      </c>
      <c r="Z37" s="67">
        <f ca="1" t="shared" si="9"/>
        <v>35.26642659344968</v>
      </c>
      <c r="AA37" s="68">
        <f ca="1" t="shared" si="10"/>
        <v>0.03880408333798746</v>
      </c>
      <c r="AB37" s="169">
        <f t="shared" si="36"/>
        <v>1.864</v>
      </c>
      <c r="AC37" s="169">
        <f t="shared" si="37"/>
        <v>3.728</v>
      </c>
      <c r="AD37" s="169">
        <v>0</v>
      </c>
      <c r="AE37" s="171">
        <f t="shared" si="38"/>
        <v>0</v>
      </c>
      <c r="AF37" s="182">
        <v>0</v>
      </c>
      <c r="AG37" s="182">
        <f t="shared" si="39"/>
        <v>0</v>
      </c>
      <c r="AH37" s="182">
        <f t="shared" si="40"/>
        <v>0</v>
      </c>
      <c r="AI37" s="182">
        <v>0</v>
      </c>
      <c r="AJ37" s="171">
        <f t="shared" si="41"/>
        <v>0</v>
      </c>
      <c r="AK37" s="171">
        <f t="shared" si="42"/>
        <v>3.728</v>
      </c>
      <c r="AL37" s="171">
        <f t="shared" si="43"/>
        <v>0.23791356861583737</v>
      </c>
      <c r="AM37" s="171">
        <f t="shared" si="44"/>
        <v>3.9659135686158375</v>
      </c>
      <c r="AN37" s="81">
        <f t="shared" si="45"/>
        <v>3.9659135686158375</v>
      </c>
      <c r="AO37" s="63">
        <f t="shared" si="46"/>
        <v>1.864</v>
      </c>
      <c r="AP37" s="63">
        <f t="shared" si="47"/>
        <v>1.864</v>
      </c>
      <c r="AQ37" s="63">
        <f t="shared" si="48"/>
        <v>0</v>
      </c>
      <c r="AR37" s="63">
        <f t="shared" si="49"/>
        <v>2.1019135686158377</v>
      </c>
      <c r="AS37" s="67">
        <f t="shared" si="11"/>
        <v>35.5763854636149</v>
      </c>
      <c r="AT37" s="65">
        <f ca="1" t="shared" si="12"/>
        <v>1.04</v>
      </c>
      <c r="AU37" s="66">
        <f ca="1" t="shared" si="50"/>
        <v>1.93856</v>
      </c>
      <c r="AV37" s="66">
        <f ca="1" t="shared" si="51"/>
        <v>1.93856</v>
      </c>
      <c r="AW37" s="66">
        <f ca="1" t="shared" si="52"/>
        <v>0</v>
      </c>
      <c r="AX37" s="63">
        <f ca="1" t="shared" si="53"/>
        <v>2.0273535686158377</v>
      </c>
      <c r="AY37" s="67">
        <f ca="1" t="shared" si="13"/>
        <v>36.38031310262951</v>
      </c>
      <c r="AZ37" s="65">
        <f ca="1" t="shared" si="54"/>
        <v>0.0225972264618286</v>
      </c>
      <c r="BA37" s="68">
        <f ca="1" t="shared" si="14"/>
        <v>0.031584898635199865</v>
      </c>
      <c r="BB37" s="169">
        <f t="shared" si="55"/>
        <v>1.864</v>
      </c>
      <c r="BC37" s="169">
        <f t="shared" si="56"/>
        <v>3.728</v>
      </c>
      <c r="BD37" s="169">
        <v>0</v>
      </c>
      <c r="BE37" s="171">
        <f t="shared" si="57"/>
        <v>0</v>
      </c>
      <c r="BF37" s="182">
        <v>0</v>
      </c>
      <c r="BG37" s="182">
        <f t="shared" si="58"/>
        <v>0</v>
      </c>
      <c r="BH37" s="182">
        <f t="shared" si="59"/>
        <v>0</v>
      </c>
      <c r="BI37" s="169">
        <f t="shared" si="60"/>
        <v>0</v>
      </c>
      <c r="BJ37" s="171">
        <f t="shared" si="61"/>
        <v>3.728</v>
      </c>
      <c r="BK37" s="171">
        <f t="shared" si="62"/>
        <v>0.07152682744652099</v>
      </c>
      <c r="BL37" s="171">
        <f t="shared" si="63"/>
        <v>3.7995268274465213</v>
      </c>
      <c r="BM37" s="81">
        <f t="shared" si="64"/>
        <v>3.7995268274465213</v>
      </c>
      <c r="BN37" s="63">
        <f t="shared" si="15"/>
        <v>1.864</v>
      </c>
      <c r="BO37" s="63">
        <f t="shared" si="65"/>
        <v>1.864</v>
      </c>
      <c r="BP37" s="63">
        <f t="shared" si="66"/>
        <v>0</v>
      </c>
      <c r="BQ37" s="63">
        <f t="shared" si="67"/>
        <v>1.9355268274465212</v>
      </c>
      <c r="BR37" s="67">
        <f t="shared" si="68"/>
        <v>34.790963136607154</v>
      </c>
      <c r="BS37" s="69">
        <f ca="1" t="shared" si="16"/>
        <v>1.04</v>
      </c>
      <c r="BT37" s="66">
        <f ca="1" t="shared" si="69"/>
        <v>1.93856</v>
      </c>
      <c r="BU37" s="66">
        <f ca="1" t="shared" si="70"/>
        <v>1.93856</v>
      </c>
      <c r="BV37" s="66">
        <f ca="1" t="shared" si="71"/>
        <v>0</v>
      </c>
      <c r="BW37" s="63">
        <f ca="1" t="shared" si="72"/>
        <v>1.8609668274465212</v>
      </c>
      <c r="BX37" s="67">
        <f ca="1" t="shared" si="17"/>
        <v>35.05800570624853</v>
      </c>
      <c r="BY37" s="65">
        <f ca="1" t="shared" si="73"/>
        <v>0.007675630266193778</v>
      </c>
      <c r="BZ37" s="68">
        <f ca="1" t="shared" si="18"/>
        <v>-0.0059098952554456075</v>
      </c>
      <c r="CA37" s="81">
        <f t="shared" si="74"/>
        <v>1.864</v>
      </c>
      <c r="CB37" s="63">
        <f t="shared" si="75"/>
        <v>1.864</v>
      </c>
      <c r="CC37" s="67">
        <f t="shared" si="76"/>
        <v>35.90132553133049</v>
      </c>
      <c r="CD37" s="69">
        <f ca="1" t="shared" si="19"/>
        <v>1.04</v>
      </c>
      <c r="CE37" s="190">
        <f ca="1" t="shared" si="77"/>
        <v>1.93856</v>
      </c>
      <c r="CF37" s="70">
        <f ca="1" t="shared" si="78"/>
        <v>1.93856</v>
      </c>
      <c r="CG37" s="67">
        <f ca="1" t="shared" si="79"/>
        <v>39.30481757441425</v>
      </c>
      <c r="CH37" s="65">
        <f ca="1" t="shared" si="80"/>
        <v>0.09480129194989151</v>
      </c>
      <c r="CI37" s="65">
        <f ca="1" t="shared" si="20"/>
        <v>0.11451092075528435</v>
      </c>
      <c r="CJ37" s="68">
        <f ca="1" t="shared" si="81"/>
        <v>0.12113672134546993</v>
      </c>
      <c r="CL37" s="97">
        <f ca="1" t="shared" si="21"/>
        <v>598886.8952881008</v>
      </c>
      <c r="CM37" s="97">
        <f ca="1" t="shared" si="22"/>
        <v>617802.6771697252</v>
      </c>
      <c r="CN37" s="97">
        <f ca="1" t="shared" si="23"/>
        <v>595347.5364670891</v>
      </c>
      <c r="CO37" s="97">
        <f ca="1" t="shared" si="82"/>
        <v>667465.9850958149</v>
      </c>
      <c r="CQ37" s="97">
        <f t="shared" si="24"/>
        <v>554342.0488688102</v>
      </c>
      <c r="CR37" s="97">
        <f t="shared" si="25"/>
        <v>580913.9907366008</v>
      </c>
      <c r="CS37" s="97">
        <f t="shared" si="26"/>
        <v>568089.1123109291</v>
      </c>
      <c r="CT37" s="97">
        <f t="shared" si="83"/>
        <v>586219.8201239044</v>
      </c>
      <c r="CV37" s="97">
        <f ca="1" t="shared" si="27"/>
        <v>598886.8952881008</v>
      </c>
      <c r="CW37" s="97">
        <f ca="1" t="shared" si="84"/>
        <v>617802.6771697251</v>
      </c>
      <c r="CX37" s="97">
        <f ca="1" t="shared" si="85"/>
        <v>617802.6771697251</v>
      </c>
      <c r="CY37" s="97">
        <f ca="1" t="shared" si="86"/>
        <v>667465.9850958149</v>
      </c>
    </row>
    <row r="38" spans="2:103" ht="12.75">
      <c r="B38" s="14">
        <v>10072</v>
      </c>
      <c r="C38" s="15" t="s">
        <v>37</v>
      </c>
      <c r="D38" s="16">
        <f>RHWM!D25</f>
        <v>1</v>
      </c>
      <c r="E38" s="16">
        <f>RHWM!E25</f>
        <v>0</v>
      </c>
      <c r="F38" s="18">
        <f>RHWM!M25</f>
        <v>25.509</v>
      </c>
      <c r="G38" s="18">
        <f>RHWM!N25</f>
        <v>25.697</v>
      </c>
      <c r="H38" s="18">
        <f>RHWM!O25</f>
        <v>23.982</v>
      </c>
      <c r="I38" s="18">
        <v>1.527</v>
      </c>
      <c r="J38" s="18">
        <v>1.715</v>
      </c>
      <c r="K38" s="18">
        <v>0</v>
      </c>
      <c r="L38" s="18">
        <v>0</v>
      </c>
      <c r="M38" s="18">
        <v>1.527</v>
      </c>
      <c r="N38" s="18">
        <v>1.715</v>
      </c>
      <c r="O38" s="81">
        <f t="shared" si="28"/>
        <v>23.982</v>
      </c>
      <c r="P38" s="63">
        <f t="shared" si="29"/>
        <v>25.697</v>
      </c>
      <c r="Q38" s="63">
        <f t="shared" si="30"/>
        <v>23.982</v>
      </c>
      <c r="R38" s="63">
        <f t="shared" si="31"/>
        <v>1.7149999999999999</v>
      </c>
      <c r="S38" s="63">
        <f t="shared" si="32"/>
        <v>0</v>
      </c>
      <c r="T38" s="67">
        <f t="shared" si="6"/>
        <v>35.89591234080693</v>
      </c>
      <c r="U38" s="138">
        <f ca="1" t="shared" si="7"/>
        <v>1.24</v>
      </c>
      <c r="V38" s="66">
        <f ca="1" t="shared" si="8"/>
        <v>31.864279999999997</v>
      </c>
      <c r="W38" s="66">
        <f ca="1" t="shared" si="33"/>
        <v>23.982</v>
      </c>
      <c r="X38" s="66">
        <f ca="1" t="shared" si="34"/>
        <v>7.882279999999998</v>
      </c>
      <c r="Y38" s="63">
        <f ca="1" t="shared" si="35"/>
        <v>0</v>
      </c>
      <c r="Z38" s="67">
        <f ca="1" t="shared" si="9"/>
        <v>41.887578715974044</v>
      </c>
      <c r="AA38" s="68">
        <f ca="1" t="shared" si="10"/>
        <v>0.1669177904793273</v>
      </c>
      <c r="AB38" s="169">
        <f t="shared" si="36"/>
        <v>23.982</v>
      </c>
      <c r="AC38" s="169">
        <f t="shared" si="37"/>
        <v>23.982</v>
      </c>
      <c r="AD38" s="169">
        <v>0.167</v>
      </c>
      <c r="AE38" s="171">
        <f t="shared" si="38"/>
        <v>0.0835</v>
      </c>
      <c r="AF38" s="182">
        <v>0</v>
      </c>
      <c r="AG38" s="182">
        <f t="shared" si="39"/>
        <v>0</v>
      </c>
      <c r="AH38" s="182">
        <f t="shared" si="40"/>
        <v>0</v>
      </c>
      <c r="AI38" s="182">
        <v>0</v>
      </c>
      <c r="AJ38" s="171">
        <f t="shared" si="41"/>
        <v>0.8574999999999999</v>
      </c>
      <c r="AK38" s="171">
        <f t="shared" si="42"/>
        <v>24.923000000000002</v>
      </c>
      <c r="AL38" s="171">
        <f t="shared" si="43"/>
        <v>1.590536445979752</v>
      </c>
      <c r="AM38" s="171">
        <f t="shared" si="44"/>
        <v>26.513536445979753</v>
      </c>
      <c r="AN38" s="81">
        <f t="shared" si="45"/>
        <v>26.513536445979753</v>
      </c>
      <c r="AO38" s="63">
        <f t="shared" si="46"/>
        <v>25.697</v>
      </c>
      <c r="AP38" s="63">
        <f t="shared" si="47"/>
        <v>25.697</v>
      </c>
      <c r="AQ38" s="63">
        <f t="shared" si="48"/>
        <v>0</v>
      </c>
      <c r="AR38" s="63">
        <f t="shared" si="49"/>
        <v>0.8165364459797537</v>
      </c>
      <c r="AS38" s="67">
        <f t="shared" si="11"/>
        <v>35.5763854636149</v>
      </c>
      <c r="AT38" s="65">
        <f ca="1" t="shared" si="12"/>
        <v>1.24</v>
      </c>
      <c r="AU38" s="66">
        <f ca="1" t="shared" si="50"/>
        <v>31.864279999999997</v>
      </c>
      <c r="AV38" s="66">
        <f ca="1" t="shared" si="51"/>
        <v>26.513536445979753</v>
      </c>
      <c r="AW38" s="66">
        <f ca="1" t="shared" si="52"/>
        <v>5.350743554020244</v>
      </c>
      <c r="AX38" s="63">
        <f ca="1" t="shared" si="53"/>
        <v>0</v>
      </c>
      <c r="AY38" s="67">
        <f ca="1" t="shared" si="13"/>
        <v>40.870519920502836</v>
      </c>
      <c r="AZ38" s="65">
        <f ca="1" t="shared" si="54"/>
        <v>0.14881035236990048</v>
      </c>
      <c r="BA38" s="68">
        <f ca="1" t="shared" si="14"/>
        <v>-0.024280677629221592</v>
      </c>
      <c r="BB38" s="169">
        <f t="shared" si="55"/>
        <v>23.982</v>
      </c>
      <c r="BC38" s="169">
        <f t="shared" si="56"/>
        <v>23.982</v>
      </c>
      <c r="BD38" s="169">
        <v>0.167</v>
      </c>
      <c r="BE38" s="171">
        <f t="shared" si="57"/>
        <v>0.0835</v>
      </c>
      <c r="BF38" s="182">
        <v>0</v>
      </c>
      <c r="BG38" s="182">
        <f t="shared" si="58"/>
        <v>0</v>
      </c>
      <c r="BH38" s="182">
        <f t="shared" si="59"/>
        <v>0</v>
      </c>
      <c r="BI38" s="169">
        <f t="shared" si="60"/>
        <v>0.42874999999999996</v>
      </c>
      <c r="BJ38" s="171">
        <f t="shared" si="61"/>
        <v>24.49425</v>
      </c>
      <c r="BK38" s="171">
        <f t="shared" si="62"/>
        <v>0.46995600675481397</v>
      </c>
      <c r="BL38" s="171">
        <f t="shared" si="63"/>
        <v>24.964206006754814</v>
      </c>
      <c r="BM38" s="81">
        <f t="shared" si="64"/>
        <v>24.964206006754814</v>
      </c>
      <c r="BN38" s="63">
        <f t="shared" si="15"/>
        <v>25.697</v>
      </c>
      <c r="BO38" s="63">
        <f t="shared" si="65"/>
        <v>24.964206006754814</v>
      </c>
      <c r="BP38" s="63">
        <f t="shared" si="66"/>
        <v>0.7327939932451848</v>
      </c>
      <c r="BQ38" s="63">
        <f t="shared" si="67"/>
        <v>0</v>
      </c>
      <c r="BR38" s="67">
        <f t="shared" si="68"/>
        <v>35.598814171666326</v>
      </c>
      <c r="BS38" s="69">
        <f ca="1" t="shared" si="16"/>
        <v>1.24</v>
      </c>
      <c r="BT38" s="66">
        <f ca="1" t="shared" si="69"/>
        <v>31.864279999999997</v>
      </c>
      <c r="BU38" s="66">
        <f ca="1" t="shared" si="70"/>
        <v>24.964206006754814</v>
      </c>
      <c r="BV38" s="66">
        <f ca="1" t="shared" si="71"/>
        <v>6.900073993245183</v>
      </c>
      <c r="BW38" s="63">
        <f ca="1" t="shared" si="72"/>
        <v>0</v>
      </c>
      <c r="BX38" s="67">
        <f ca="1" t="shared" si="17"/>
        <v>41.13471093934682</v>
      </c>
      <c r="BY38" s="65">
        <f ca="1" t="shared" si="73"/>
        <v>0.1555078981278708</v>
      </c>
      <c r="BZ38" s="68">
        <f ca="1" t="shared" si="18"/>
        <v>-0.01797353295907067</v>
      </c>
      <c r="CA38" s="81">
        <f t="shared" si="74"/>
        <v>25.697</v>
      </c>
      <c r="CB38" s="63">
        <f t="shared" si="75"/>
        <v>25.697</v>
      </c>
      <c r="CC38" s="67">
        <f t="shared" si="76"/>
        <v>35.90132553133049</v>
      </c>
      <c r="CD38" s="69">
        <f ca="1" t="shared" si="19"/>
        <v>1.24</v>
      </c>
      <c r="CE38" s="190">
        <f ca="1" t="shared" si="77"/>
        <v>31.864279999999997</v>
      </c>
      <c r="CF38" s="70">
        <f ca="1" t="shared" si="78"/>
        <v>31.864279999999997</v>
      </c>
      <c r="CG38" s="67">
        <f ca="1" t="shared" si="79"/>
        <v>39.30481757441425</v>
      </c>
      <c r="CH38" s="65">
        <f ca="1" t="shared" si="80"/>
        <v>0.09480129194989151</v>
      </c>
      <c r="CI38" s="65">
        <f ca="1" t="shared" si="20"/>
        <v>-0.06165935632309161</v>
      </c>
      <c r="CJ38" s="68">
        <f ca="1" t="shared" si="81"/>
        <v>-0.044485382859034694</v>
      </c>
      <c r="CL38" s="97">
        <f ca="1" t="shared" si="21"/>
        <v>11692125.621735856</v>
      </c>
      <c r="CM38" s="97">
        <f ca="1" t="shared" si="22"/>
        <v>11408232.888714124</v>
      </c>
      <c r="CN38" s="97">
        <f ca="1" t="shared" si="23"/>
        <v>11481976.816511992</v>
      </c>
      <c r="CO38" s="97">
        <f ca="1" t="shared" si="82"/>
        <v>10971196.681850895</v>
      </c>
      <c r="CQ38" s="97">
        <f t="shared" si="24"/>
        <v>8080375.192534231</v>
      </c>
      <c r="CR38" s="97">
        <f t="shared" si="25"/>
        <v>8008447.864784566</v>
      </c>
      <c r="CS38" s="97">
        <f t="shared" si="26"/>
        <v>8013496.695259153</v>
      </c>
      <c r="CT38" s="97">
        <f t="shared" si="83"/>
        <v>8081593.732684533</v>
      </c>
      <c r="CV38" s="97">
        <f ca="1" t="shared" si="27"/>
        <v>11692125.621735854</v>
      </c>
      <c r="CW38" s="97">
        <f ca="1" t="shared" si="84"/>
        <v>11408232.888714125</v>
      </c>
      <c r="CX38" s="97">
        <f ca="1" t="shared" si="85"/>
        <v>11408232.888714125</v>
      </c>
      <c r="CY38" s="97">
        <f ca="1" t="shared" si="86"/>
        <v>10971196.681850893</v>
      </c>
    </row>
    <row r="39" spans="2:103" ht="12.75">
      <c r="B39" s="14">
        <v>10074</v>
      </c>
      <c r="C39" s="15" t="s">
        <v>38</v>
      </c>
      <c r="D39" s="16">
        <f>RHWM!D26</f>
        <v>1</v>
      </c>
      <c r="E39" s="16">
        <f>RHWM!E26</f>
        <v>0</v>
      </c>
      <c r="F39" s="18">
        <f>RHWM!M26</f>
        <v>29.33</v>
      </c>
      <c r="G39" s="18">
        <f>RHWM!N26</f>
        <v>29.579</v>
      </c>
      <c r="H39" s="18">
        <f>RHWM!O26</f>
        <v>26.682</v>
      </c>
      <c r="I39" s="18">
        <v>2.648</v>
      </c>
      <c r="J39" s="18">
        <v>2.897</v>
      </c>
      <c r="K39" s="18">
        <v>0</v>
      </c>
      <c r="L39" s="18">
        <v>0</v>
      </c>
      <c r="M39" s="18">
        <v>2.648</v>
      </c>
      <c r="N39" s="18">
        <v>2.897</v>
      </c>
      <c r="O39" s="81">
        <f t="shared" si="28"/>
        <v>26.682</v>
      </c>
      <c r="P39" s="63">
        <f t="shared" si="29"/>
        <v>29.579</v>
      </c>
      <c r="Q39" s="63">
        <f t="shared" si="30"/>
        <v>26.682</v>
      </c>
      <c r="R39" s="63">
        <f t="shared" si="31"/>
        <v>2.897000000000002</v>
      </c>
      <c r="S39" s="63">
        <f t="shared" si="32"/>
        <v>0</v>
      </c>
      <c r="T39" s="67">
        <f t="shared" si="6"/>
        <v>36.806098007431416</v>
      </c>
      <c r="U39" s="138">
        <f ca="1" t="shared" si="7"/>
        <v>1.37</v>
      </c>
      <c r="V39" s="66">
        <f ca="1" t="shared" si="8"/>
        <v>40.523230000000005</v>
      </c>
      <c r="W39" s="66">
        <f ca="1" t="shared" si="33"/>
        <v>26.682</v>
      </c>
      <c r="X39" s="66">
        <f ca="1" t="shared" si="34"/>
        <v>13.841230000000007</v>
      </c>
      <c r="Y39" s="63">
        <f ca="1" t="shared" si="35"/>
        <v>0</v>
      </c>
      <c r="Z39" s="67">
        <f ca="1" t="shared" si="9"/>
        <v>44.54484018394484</v>
      </c>
      <c r="AA39" s="68">
        <f ca="1" t="shared" si="10"/>
        <v>0.21025706596094262</v>
      </c>
      <c r="AB39" s="169">
        <f t="shared" si="36"/>
        <v>26.682</v>
      </c>
      <c r="AC39" s="169">
        <f t="shared" si="37"/>
        <v>26.682</v>
      </c>
      <c r="AD39" s="169">
        <v>0.1585</v>
      </c>
      <c r="AE39" s="171">
        <f t="shared" si="38"/>
        <v>0.07925</v>
      </c>
      <c r="AF39" s="182">
        <v>0</v>
      </c>
      <c r="AG39" s="182">
        <f t="shared" si="39"/>
        <v>0</v>
      </c>
      <c r="AH39" s="182">
        <f t="shared" si="40"/>
        <v>0</v>
      </c>
      <c r="AI39" s="182">
        <v>0</v>
      </c>
      <c r="AJ39" s="171">
        <f t="shared" si="41"/>
        <v>1.448500000000001</v>
      </c>
      <c r="AK39" s="171">
        <f t="shared" si="42"/>
        <v>28.20975</v>
      </c>
      <c r="AL39" s="171">
        <f t="shared" si="43"/>
        <v>1.8002903144475906</v>
      </c>
      <c r="AM39" s="171">
        <f t="shared" si="44"/>
        <v>30.01004031444759</v>
      </c>
      <c r="AN39" s="81">
        <f t="shared" si="45"/>
        <v>30.01004031444759</v>
      </c>
      <c r="AO39" s="63">
        <f t="shared" si="46"/>
        <v>29.579</v>
      </c>
      <c r="AP39" s="63">
        <f t="shared" si="47"/>
        <v>29.579</v>
      </c>
      <c r="AQ39" s="63">
        <f t="shared" si="48"/>
        <v>0</v>
      </c>
      <c r="AR39" s="63">
        <f t="shared" si="49"/>
        <v>0.43104031444758917</v>
      </c>
      <c r="AS39" s="67">
        <f t="shared" si="11"/>
        <v>35.5763854636149</v>
      </c>
      <c r="AT39" s="65">
        <f ca="1" t="shared" si="12"/>
        <v>1.37</v>
      </c>
      <c r="AU39" s="66">
        <f ca="1" t="shared" si="50"/>
        <v>40.523230000000005</v>
      </c>
      <c r="AV39" s="66">
        <f ca="1" t="shared" si="51"/>
        <v>30.01004031444759</v>
      </c>
      <c r="AW39" s="66">
        <f ca="1" t="shared" si="52"/>
        <v>10.513189685552415</v>
      </c>
      <c r="AX39" s="63">
        <f ca="1" t="shared" si="53"/>
        <v>0</v>
      </c>
      <c r="AY39" s="67">
        <f ca="1" t="shared" si="13"/>
        <v>43.31755380344078</v>
      </c>
      <c r="AZ39" s="65">
        <f ca="1" t="shared" si="54"/>
        <v>0.21759288468872207</v>
      </c>
      <c r="BA39" s="68">
        <f ca="1" t="shared" si="14"/>
        <v>-0.0275517068966028</v>
      </c>
      <c r="BB39" s="169">
        <f t="shared" si="55"/>
        <v>26.682</v>
      </c>
      <c r="BC39" s="169">
        <f t="shared" si="56"/>
        <v>26.682</v>
      </c>
      <c r="BD39" s="169">
        <v>0.1585</v>
      </c>
      <c r="BE39" s="171">
        <f t="shared" si="57"/>
        <v>0.07925</v>
      </c>
      <c r="BF39" s="182">
        <v>0</v>
      </c>
      <c r="BG39" s="182">
        <f t="shared" si="58"/>
        <v>0</v>
      </c>
      <c r="BH39" s="182">
        <f t="shared" si="59"/>
        <v>0</v>
      </c>
      <c r="BI39" s="169">
        <f t="shared" si="60"/>
        <v>0.7242500000000005</v>
      </c>
      <c r="BJ39" s="171">
        <f t="shared" si="61"/>
        <v>27.4855</v>
      </c>
      <c r="BK39" s="171">
        <f t="shared" si="62"/>
        <v>0.5273472681816932</v>
      </c>
      <c r="BL39" s="171">
        <f t="shared" si="63"/>
        <v>28.01284726818169</v>
      </c>
      <c r="BM39" s="81">
        <f t="shared" si="64"/>
        <v>28.01284726818169</v>
      </c>
      <c r="BN39" s="63">
        <f t="shared" si="15"/>
        <v>29.579</v>
      </c>
      <c r="BO39" s="63">
        <f t="shared" si="65"/>
        <v>28.01284726818169</v>
      </c>
      <c r="BP39" s="63">
        <f t="shared" si="66"/>
        <v>1.5661527318183097</v>
      </c>
      <c r="BQ39" s="63">
        <f t="shared" si="67"/>
        <v>0</v>
      </c>
      <c r="BR39" s="67">
        <f t="shared" si="68"/>
        <v>36.29093265800356</v>
      </c>
      <c r="BS39" s="69">
        <f ca="1" t="shared" si="16"/>
        <v>1.37</v>
      </c>
      <c r="BT39" s="66">
        <f ca="1" t="shared" si="69"/>
        <v>40.523230000000005</v>
      </c>
      <c r="BU39" s="66">
        <f ca="1" t="shared" si="70"/>
        <v>28.01284726818169</v>
      </c>
      <c r="BV39" s="66">
        <f ca="1" t="shared" si="71"/>
        <v>12.510382731818314</v>
      </c>
      <c r="BW39" s="63">
        <f ca="1" t="shared" si="72"/>
        <v>0</v>
      </c>
      <c r="BX39" s="67">
        <f ca="1" t="shared" si="17"/>
        <v>43.721340016789235</v>
      </c>
      <c r="BY39" s="65">
        <f ca="1" t="shared" si="73"/>
        <v>0.20474556079359885</v>
      </c>
      <c r="BZ39" s="68">
        <f ca="1" t="shared" si="18"/>
        <v>-0.018486993415062658</v>
      </c>
      <c r="CA39" s="81">
        <f t="shared" si="74"/>
        <v>29.579</v>
      </c>
      <c r="CB39" s="63">
        <f t="shared" si="75"/>
        <v>29.579</v>
      </c>
      <c r="CC39" s="67">
        <f t="shared" si="76"/>
        <v>35.90132553133049</v>
      </c>
      <c r="CD39" s="69">
        <f ca="1" t="shared" si="19"/>
        <v>1.37</v>
      </c>
      <c r="CE39" s="190">
        <f ca="1" t="shared" si="77"/>
        <v>40.523230000000005</v>
      </c>
      <c r="CF39" s="70">
        <f ca="1" t="shared" si="78"/>
        <v>40.523230000000005</v>
      </c>
      <c r="CG39" s="67">
        <f ca="1" t="shared" si="79"/>
        <v>39.30481757441425</v>
      </c>
      <c r="CH39" s="65">
        <f ca="1" t="shared" si="80"/>
        <v>0.09480129194989151</v>
      </c>
      <c r="CI39" s="65">
        <f ca="1" t="shared" si="20"/>
        <v>-0.11763478301622099</v>
      </c>
      <c r="CJ39" s="68">
        <f ca="1" t="shared" si="81"/>
        <v>-0.10101525801082523</v>
      </c>
      <c r="CL39" s="97">
        <f ca="1" t="shared" si="21"/>
        <v>15812683.043804215</v>
      </c>
      <c r="CM39" s="97">
        <f ca="1" t="shared" si="22"/>
        <v>15377016.635332443</v>
      </c>
      <c r="CN39" s="97">
        <f ca="1" t="shared" si="23"/>
        <v>15520354.076498937</v>
      </c>
      <c r="CO39" s="97">
        <f ca="1" t="shared" si="82"/>
        <v>13952561.505042031</v>
      </c>
      <c r="CQ39" s="97">
        <f t="shared" si="24"/>
        <v>9536903.13914549</v>
      </c>
      <c r="CR39" s="97">
        <f t="shared" si="25"/>
        <v>9218269.813303603</v>
      </c>
      <c r="CS39" s="97">
        <f t="shared" si="26"/>
        <v>9403417.594517926</v>
      </c>
      <c r="CT39" s="97">
        <f t="shared" si="83"/>
        <v>9302465.697127128</v>
      </c>
      <c r="CV39" s="97">
        <f ca="1" t="shared" si="27"/>
        <v>15812683.043804217</v>
      </c>
      <c r="CW39" s="97">
        <f ca="1" t="shared" si="84"/>
        <v>15377016.635332443</v>
      </c>
      <c r="CX39" s="97">
        <f ca="1" t="shared" si="85"/>
        <v>15377016.635332443</v>
      </c>
      <c r="CY39" s="97">
        <f ca="1" t="shared" si="86"/>
        <v>13952561.505042031</v>
      </c>
    </row>
    <row r="40" spans="2:103" ht="12.75">
      <c r="B40" s="14">
        <v>10076</v>
      </c>
      <c r="C40" s="15" t="s">
        <v>39</v>
      </c>
      <c r="D40" s="16">
        <f>RHWM!D27</f>
        <v>1</v>
      </c>
      <c r="E40" s="16">
        <f>RHWM!E27</f>
        <v>0</v>
      </c>
      <c r="F40" s="18">
        <f>RHWM!M27</f>
        <v>8.036</v>
      </c>
      <c r="G40" s="18">
        <f>RHWM!N27</f>
        <v>8.132</v>
      </c>
      <c r="H40" s="18">
        <f>RHWM!O27</f>
        <v>4.817</v>
      </c>
      <c r="I40" s="18">
        <v>3.219</v>
      </c>
      <c r="J40" s="18">
        <v>3.315</v>
      </c>
      <c r="K40" s="18">
        <v>0</v>
      </c>
      <c r="L40" s="18">
        <v>0</v>
      </c>
      <c r="M40" s="18">
        <v>3.219</v>
      </c>
      <c r="N40" s="18">
        <v>3.315</v>
      </c>
      <c r="O40" s="81">
        <f t="shared" si="28"/>
        <v>4.817</v>
      </c>
      <c r="P40" s="63">
        <f t="shared" si="29"/>
        <v>8.132</v>
      </c>
      <c r="Q40" s="63">
        <f t="shared" si="30"/>
        <v>4.817</v>
      </c>
      <c r="R40" s="63">
        <f t="shared" si="31"/>
        <v>3.3149999999999995</v>
      </c>
      <c r="S40" s="63">
        <f t="shared" si="32"/>
        <v>0</v>
      </c>
      <c r="T40" s="67">
        <f t="shared" si="6"/>
        <v>45.840561068419795</v>
      </c>
      <c r="U40" s="138">
        <f ca="1" t="shared" si="7"/>
        <v>0.9</v>
      </c>
      <c r="V40" s="66">
        <f ca="1" t="shared" si="8"/>
        <v>7.3187999999999995</v>
      </c>
      <c r="W40" s="66">
        <f ca="1" t="shared" si="33"/>
        <v>4.817</v>
      </c>
      <c r="X40" s="66">
        <f ca="1" t="shared" si="34"/>
        <v>2.5017999999999994</v>
      </c>
      <c r="Y40" s="63">
        <f ca="1" t="shared" si="35"/>
        <v>0</v>
      </c>
      <c r="Z40" s="67">
        <f ca="1" t="shared" si="9"/>
        <v>44.552432961193595</v>
      </c>
      <c r="AA40" s="68">
        <f ca="1" t="shared" si="10"/>
        <v>-0.02810018196120223</v>
      </c>
      <c r="AB40" s="169">
        <f t="shared" si="36"/>
        <v>4.817</v>
      </c>
      <c r="AC40" s="169">
        <f t="shared" si="37"/>
        <v>5</v>
      </c>
      <c r="AD40" s="169">
        <v>0.009000000000000001</v>
      </c>
      <c r="AE40" s="171">
        <f t="shared" si="38"/>
        <v>0.0045000000000000005</v>
      </c>
      <c r="AF40" s="182">
        <v>0</v>
      </c>
      <c r="AG40" s="182">
        <f t="shared" si="39"/>
        <v>0</v>
      </c>
      <c r="AH40" s="182">
        <f t="shared" si="40"/>
        <v>0</v>
      </c>
      <c r="AI40" s="182">
        <v>0</v>
      </c>
      <c r="AJ40" s="171">
        <f t="shared" si="41"/>
        <v>1.6574999999999998</v>
      </c>
      <c r="AK40" s="171">
        <f t="shared" si="42"/>
        <v>6.662</v>
      </c>
      <c r="AL40" s="171">
        <f t="shared" si="43"/>
        <v>0.42515563146961066</v>
      </c>
      <c r="AM40" s="171">
        <f t="shared" si="44"/>
        <v>7.087155631469611</v>
      </c>
      <c r="AN40" s="81">
        <f t="shared" si="45"/>
        <v>7.087155631469611</v>
      </c>
      <c r="AO40" s="63">
        <f t="shared" si="46"/>
        <v>8.132</v>
      </c>
      <c r="AP40" s="63">
        <f t="shared" si="47"/>
        <v>7.087155631469611</v>
      </c>
      <c r="AQ40" s="63">
        <f t="shared" si="48"/>
        <v>1.0448443685303888</v>
      </c>
      <c r="AR40" s="63">
        <f t="shared" si="49"/>
        <v>0</v>
      </c>
      <c r="AS40" s="67">
        <f t="shared" si="11"/>
        <v>39.115341506078465</v>
      </c>
      <c r="AT40" s="65">
        <f ca="1" t="shared" si="12"/>
        <v>0.9</v>
      </c>
      <c r="AU40" s="66">
        <f ca="1" t="shared" si="50"/>
        <v>7.3187999999999995</v>
      </c>
      <c r="AV40" s="66">
        <f ca="1" t="shared" si="51"/>
        <v>7.087155631469611</v>
      </c>
      <c r="AW40" s="66">
        <f ca="1" t="shared" si="52"/>
        <v>0.2316443685303886</v>
      </c>
      <c r="AX40" s="63">
        <f ca="1" t="shared" si="53"/>
        <v>0</v>
      </c>
      <c r="AY40" s="67">
        <f ca="1" t="shared" si="13"/>
        <v>37.22664008055508</v>
      </c>
      <c r="AZ40" s="65">
        <f ca="1" t="shared" si="54"/>
        <v>-0.0482854387256183</v>
      </c>
      <c r="BA40" s="68">
        <f ca="1" t="shared" si="14"/>
        <v>-0.16443081541740912</v>
      </c>
      <c r="BB40" s="169">
        <f t="shared" si="55"/>
        <v>4.817</v>
      </c>
      <c r="BC40" s="169">
        <f t="shared" si="56"/>
        <v>5</v>
      </c>
      <c r="BD40" s="169">
        <v>0.009000000000000001</v>
      </c>
      <c r="BE40" s="171">
        <f t="shared" si="57"/>
        <v>0.0045000000000000005</v>
      </c>
      <c r="BF40" s="182">
        <v>0</v>
      </c>
      <c r="BG40" s="182">
        <f t="shared" si="58"/>
        <v>0</v>
      </c>
      <c r="BH40" s="182">
        <f t="shared" si="59"/>
        <v>0</v>
      </c>
      <c r="BI40" s="169">
        <f t="shared" si="60"/>
        <v>0.8287499999999999</v>
      </c>
      <c r="BJ40" s="171">
        <f t="shared" si="61"/>
        <v>5.83325</v>
      </c>
      <c r="BK40" s="171">
        <f t="shared" si="62"/>
        <v>0.11191895552639981</v>
      </c>
      <c r="BL40" s="171">
        <f t="shared" si="63"/>
        <v>5.945168955526399</v>
      </c>
      <c r="BM40" s="81">
        <f t="shared" si="64"/>
        <v>5.945168955526399</v>
      </c>
      <c r="BN40" s="63">
        <f t="shared" si="15"/>
        <v>8.132</v>
      </c>
      <c r="BO40" s="63">
        <f t="shared" si="65"/>
        <v>5.945168955526399</v>
      </c>
      <c r="BP40" s="63">
        <f t="shared" si="66"/>
        <v>2.1868310444736005</v>
      </c>
      <c r="BQ40" s="63">
        <f t="shared" si="67"/>
        <v>0</v>
      </c>
      <c r="BR40" s="67">
        <f t="shared" si="68"/>
        <v>42.40911577715124</v>
      </c>
      <c r="BS40" s="69">
        <f ca="1" t="shared" si="16"/>
        <v>0.9</v>
      </c>
      <c r="BT40" s="66">
        <f ca="1" t="shared" si="69"/>
        <v>7.3187999999999995</v>
      </c>
      <c r="BU40" s="66">
        <f ca="1" t="shared" si="70"/>
        <v>5.945168955526399</v>
      </c>
      <c r="BV40" s="66">
        <f ca="1" t="shared" si="71"/>
        <v>1.3736310444736004</v>
      </c>
      <c r="BW40" s="63">
        <f ca="1" t="shared" si="72"/>
        <v>0</v>
      </c>
      <c r="BX40" s="67">
        <f ca="1" t="shared" si="17"/>
        <v>40.32482902861532</v>
      </c>
      <c r="BY40" s="65">
        <f ca="1" t="shared" si="73"/>
        <v>-0.04914713995661457</v>
      </c>
      <c r="BZ40" s="68">
        <f ca="1" t="shared" si="18"/>
        <v>-0.09489052901466988</v>
      </c>
      <c r="CA40" s="81">
        <f t="shared" si="74"/>
        <v>8.132</v>
      </c>
      <c r="CB40" s="63">
        <f t="shared" si="75"/>
        <v>8.132</v>
      </c>
      <c r="CC40" s="67">
        <f t="shared" si="76"/>
        <v>35.90132553133049</v>
      </c>
      <c r="CD40" s="69">
        <f ca="1" t="shared" si="19"/>
        <v>0.9</v>
      </c>
      <c r="CE40" s="190">
        <f ca="1" t="shared" si="77"/>
        <v>7.3187999999999995</v>
      </c>
      <c r="CF40" s="70">
        <f ca="1" t="shared" si="78"/>
        <v>7.3187999999999995</v>
      </c>
      <c r="CG40" s="67">
        <f ca="1" t="shared" si="79"/>
        <v>39.30481757441425</v>
      </c>
      <c r="CH40" s="65">
        <f ca="1" t="shared" si="80"/>
        <v>0.09480129194989151</v>
      </c>
      <c r="CI40" s="65">
        <f ca="1" t="shared" si="20"/>
        <v>-0.11778515869941741</v>
      </c>
      <c r="CJ40" s="68">
        <f ca="1" t="shared" si="81"/>
        <v>-0.02529487362431837</v>
      </c>
      <c r="CL40" s="97">
        <f ca="1" t="shared" si="21"/>
        <v>2856376.2340819207</v>
      </c>
      <c r="CM40" s="97">
        <f ca="1" t="shared" si="22"/>
        <v>2386699.9607729227</v>
      </c>
      <c r="CN40" s="97">
        <f ca="1" t="shared" si="23"/>
        <v>2585333.182164957</v>
      </c>
      <c r="CO40" s="97">
        <f ca="1" t="shared" si="82"/>
        <v>2519937.5060453373</v>
      </c>
      <c r="CQ40" s="97">
        <f t="shared" si="24"/>
        <v>3265512.877249494</v>
      </c>
      <c r="CR40" s="97">
        <f t="shared" si="25"/>
        <v>2786432.9844362875</v>
      </c>
      <c r="CS40" s="97">
        <f t="shared" si="26"/>
        <v>3021069.3424181943</v>
      </c>
      <c r="CT40" s="97">
        <f t="shared" si="83"/>
        <v>2557478.313974029</v>
      </c>
      <c r="CV40" s="97">
        <f ca="1" t="shared" si="27"/>
        <v>2856376.234081921</v>
      </c>
      <c r="CW40" s="97">
        <f ca="1" t="shared" si="84"/>
        <v>2386699.9607729223</v>
      </c>
      <c r="CX40" s="97">
        <f ca="1" t="shared" si="85"/>
        <v>2386699.9607729223</v>
      </c>
      <c r="CY40" s="97">
        <f ca="1" t="shared" si="86"/>
        <v>2519937.5060453373</v>
      </c>
    </row>
    <row r="41" spans="2:103" ht="12.75">
      <c r="B41" s="14">
        <v>10078</v>
      </c>
      <c r="C41" s="15" t="s">
        <v>40</v>
      </c>
      <c r="D41" s="16">
        <f>RHWM!D28</f>
        <v>1</v>
      </c>
      <c r="E41" s="16">
        <f>RHWM!E28</f>
        <v>0</v>
      </c>
      <c r="F41" s="18">
        <f>RHWM!M28</f>
        <v>4.35</v>
      </c>
      <c r="G41" s="18">
        <f>RHWM!N28</f>
        <v>4.809</v>
      </c>
      <c r="H41" s="18">
        <f>RHWM!O28</f>
        <v>3.718</v>
      </c>
      <c r="I41" s="18">
        <v>0.632</v>
      </c>
      <c r="J41" s="18">
        <v>1.091</v>
      </c>
      <c r="K41" s="18">
        <v>0.632</v>
      </c>
      <c r="L41" s="18">
        <v>0</v>
      </c>
      <c r="M41" s="18">
        <v>0</v>
      </c>
      <c r="N41" s="18">
        <v>1.091</v>
      </c>
      <c r="O41" s="81">
        <f t="shared" si="28"/>
        <v>3.718</v>
      </c>
      <c r="P41" s="63">
        <f t="shared" si="29"/>
        <v>4.809</v>
      </c>
      <c r="Q41" s="63">
        <f t="shared" si="30"/>
        <v>3.718</v>
      </c>
      <c r="R41" s="63">
        <f t="shared" si="31"/>
        <v>1.0910000000000002</v>
      </c>
      <c r="S41" s="63">
        <f t="shared" si="32"/>
        <v>0</v>
      </c>
      <c r="T41" s="67">
        <f t="shared" si="6"/>
        <v>40.56696630716209</v>
      </c>
      <c r="U41" s="138">
        <f ca="1" t="shared" si="7"/>
        <v>1.31</v>
      </c>
      <c r="V41" s="66">
        <f ca="1" t="shared" si="8"/>
        <v>6.299790000000001</v>
      </c>
      <c r="W41" s="66">
        <f ca="1" t="shared" si="33"/>
        <v>3.718</v>
      </c>
      <c r="X41" s="66">
        <f ca="1" t="shared" si="34"/>
        <v>2.5817900000000007</v>
      </c>
      <c r="Y41" s="63">
        <f ca="1" t="shared" si="35"/>
        <v>0</v>
      </c>
      <c r="Z41" s="67">
        <f ca="1" t="shared" si="9"/>
        <v>46.47048655709182</v>
      </c>
      <c r="AA41" s="68">
        <f ca="1" t="shared" si="10"/>
        <v>0.14552530759213966</v>
      </c>
      <c r="AB41" s="169">
        <f t="shared" si="36"/>
        <v>3.718</v>
      </c>
      <c r="AC41" s="169">
        <f t="shared" si="37"/>
        <v>5</v>
      </c>
      <c r="AD41" s="169">
        <v>0.001</v>
      </c>
      <c r="AE41" s="171">
        <f t="shared" si="38"/>
        <v>0.0005</v>
      </c>
      <c r="AF41" s="182">
        <v>0</v>
      </c>
      <c r="AG41" s="182">
        <f t="shared" si="39"/>
        <v>0</v>
      </c>
      <c r="AH41" s="182">
        <f t="shared" si="40"/>
        <v>0</v>
      </c>
      <c r="AI41" s="182">
        <v>0</v>
      </c>
      <c r="AJ41" s="171">
        <f t="shared" si="41"/>
        <v>0.5455000000000001</v>
      </c>
      <c r="AK41" s="171">
        <f t="shared" si="42"/>
        <v>5.545999999999999</v>
      </c>
      <c r="AL41" s="171">
        <f t="shared" si="43"/>
        <v>0.3539347241264576</v>
      </c>
      <c r="AM41" s="171">
        <f t="shared" si="44"/>
        <v>5.899934724126457</v>
      </c>
      <c r="AN41" s="81">
        <f t="shared" si="45"/>
        <v>5.899934724126457</v>
      </c>
      <c r="AO41" s="63">
        <f t="shared" si="46"/>
        <v>4.809</v>
      </c>
      <c r="AP41" s="63">
        <f t="shared" si="47"/>
        <v>4.809</v>
      </c>
      <c r="AQ41" s="63">
        <f t="shared" si="48"/>
        <v>0</v>
      </c>
      <c r="AR41" s="63">
        <f t="shared" si="49"/>
        <v>1.0909347241264564</v>
      </c>
      <c r="AS41" s="67">
        <f t="shared" si="11"/>
        <v>35.5763854636149</v>
      </c>
      <c r="AT41" s="65">
        <f ca="1" t="shared" si="12"/>
        <v>1.31</v>
      </c>
      <c r="AU41" s="66">
        <f ca="1" t="shared" si="50"/>
        <v>6.299790000000001</v>
      </c>
      <c r="AV41" s="66">
        <f ca="1" t="shared" si="51"/>
        <v>5.899934724126457</v>
      </c>
      <c r="AW41" s="66">
        <f ca="1" t="shared" si="52"/>
        <v>0.3998552758735441</v>
      </c>
      <c r="AX41" s="63">
        <f ca="1" t="shared" si="53"/>
        <v>0</v>
      </c>
      <c r="AY41" s="67">
        <f ca="1" t="shared" si="13"/>
        <v>38.07751330789354</v>
      </c>
      <c r="AZ41" s="65">
        <f ca="1" t="shared" si="54"/>
        <v>0.07030303420893125</v>
      </c>
      <c r="BA41" s="68">
        <f ca="1" t="shared" si="14"/>
        <v>-0.18060868028328048</v>
      </c>
      <c r="BB41" s="169">
        <f t="shared" si="55"/>
        <v>3.718</v>
      </c>
      <c r="BC41" s="169">
        <f t="shared" si="56"/>
        <v>5</v>
      </c>
      <c r="BD41" s="169">
        <v>0.001</v>
      </c>
      <c r="BE41" s="171">
        <f t="shared" si="57"/>
        <v>0.0005</v>
      </c>
      <c r="BF41" s="182">
        <v>0</v>
      </c>
      <c r="BG41" s="182">
        <f t="shared" si="58"/>
        <v>0</v>
      </c>
      <c r="BH41" s="182">
        <f t="shared" si="59"/>
        <v>0</v>
      </c>
      <c r="BI41" s="169">
        <f t="shared" si="60"/>
        <v>0.27275000000000005</v>
      </c>
      <c r="BJ41" s="171">
        <f t="shared" si="61"/>
        <v>5.27325</v>
      </c>
      <c r="BK41" s="171">
        <f t="shared" si="62"/>
        <v>0.1011745823048194</v>
      </c>
      <c r="BL41" s="171">
        <f t="shared" si="63"/>
        <v>5.37442458230482</v>
      </c>
      <c r="BM41" s="81">
        <f t="shared" si="64"/>
        <v>5.37442458230482</v>
      </c>
      <c r="BN41" s="63">
        <f t="shared" si="15"/>
        <v>4.809</v>
      </c>
      <c r="BO41" s="63">
        <f t="shared" si="65"/>
        <v>4.809</v>
      </c>
      <c r="BP41" s="63">
        <f t="shared" si="66"/>
        <v>0</v>
      </c>
      <c r="BQ41" s="63">
        <f t="shared" si="67"/>
        <v>0.5654245823048196</v>
      </c>
      <c r="BR41" s="67">
        <f t="shared" si="68"/>
        <v>34.790963136607154</v>
      </c>
      <c r="BS41" s="69">
        <f ca="1" t="shared" si="16"/>
        <v>1.31</v>
      </c>
      <c r="BT41" s="66">
        <f ca="1" t="shared" si="69"/>
        <v>6.299790000000001</v>
      </c>
      <c r="BU41" s="66">
        <f ca="1" t="shared" si="70"/>
        <v>5.37442458230482</v>
      </c>
      <c r="BV41" s="66">
        <f ca="1" t="shared" si="71"/>
        <v>0.9253654176951809</v>
      </c>
      <c r="BW41" s="63">
        <f ca="1" t="shared" si="72"/>
        <v>0</v>
      </c>
      <c r="BX41" s="67">
        <f ca="1" t="shared" si="17"/>
        <v>39.179984227913074</v>
      </c>
      <c r="BY41" s="65">
        <f ca="1" t="shared" si="73"/>
        <v>0.1261540554100895</v>
      </c>
      <c r="BZ41" s="68">
        <f ca="1" t="shared" si="18"/>
        <v>-0.15688457060207273</v>
      </c>
      <c r="CA41" s="81">
        <f t="shared" si="74"/>
        <v>4.809</v>
      </c>
      <c r="CB41" s="63">
        <f t="shared" si="75"/>
        <v>4.809</v>
      </c>
      <c r="CC41" s="67">
        <f t="shared" si="76"/>
        <v>35.90132553133049</v>
      </c>
      <c r="CD41" s="69">
        <f ca="1" t="shared" si="19"/>
        <v>1.31</v>
      </c>
      <c r="CE41" s="190">
        <f ca="1" t="shared" si="77"/>
        <v>6.299790000000001</v>
      </c>
      <c r="CF41" s="70">
        <f ca="1" t="shared" si="78"/>
        <v>6.299790000000001</v>
      </c>
      <c r="CG41" s="67">
        <f ca="1" t="shared" si="79"/>
        <v>39.30481757441425</v>
      </c>
      <c r="CH41" s="65">
        <f ca="1" t="shared" si="80"/>
        <v>0.09480129194989151</v>
      </c>
      <c r="CI41" s="65">
        <f ca="1" t="shared" si="20"/>
        <v>-0.1541982775212415</v>
      </c>
      <c r="CJ41" s="68">
        <f ca="1" t="shared" si="81"/>
        <v>0.0031861510146358185</v>
      </c>
      <c r="CL41" s="97">
        <f ca="1" t="shared" si="21"/>
        <v>2564527.7250057133</v>
      </c>
      <c r="CM41" s="97">
        <f ca="1" t="shared" si="22"/>
        <v>2101351.7570425477</v>
      </c>
      <c r="CN41" s="97">
        <f ca="1" t="shared" si="23"/>
        <v>2162192.8940710817</v>
      </c>
      <c r="CO41" s="97">
        <f ca="1" t="shared" si="82"/>
        <v>2169081.967154364</v>
      </c>
      <c r="CQ41" s="97">
        <f t="shared" si="24"/>
        <v>1708958.0989072083</v>
      </c>
      <c r="CR41" s="97">
        <f t="shared" si="25"/>
        <v>1498720.6982040307</v>
      </c>
      <c r="CS41" s="97">
        <f t="shared" si="26"/>
        <v>1465633.3375017478</v>
      </c>
      <c r="CT41" s="97">
        <f t="shared" si="83"/>
        <v>1512409.3964462748</v>
      </c>
      <c r="CV41" s="97">
        <f ca="1" t="shared" si="27"/>
        <v>2564527.725005713</v>
      </c>
      <c r="CW41" s="97">
        <f ca="1" t="shared" si="84"/>
        <v>2101351.7570425477</v>
      </c>
      <c r="CX41" s="97">
        <f ca="1" t="shared" si="85"/>
        <v>2101351.7570425477</v>
      </c>
      <c r="CY41" s="97">
        <f ca="1" t="shared" si="86"/>
        <v>2169081.967154364</v>
      </c>
    </row>
    <row r="42" spans="2:103" ht="12.75">
      <c r="B42" s="14">
        <v>10079</v>
      </c>
      <c r="C42" s="15" t="s">
        <v>41</v>
      </c>
      <c r="D42" s="16">
        <f>RHWM!D29</f>
        <v>1</v>
      </c>
      <c r="E42" s="16">
        <f>RHWM!E29</f>
        <v>0</v>
      </c>
      <c r="F42" s="18">
        <f>RHWM!M29</f>
        <v>81.773</v>
      </c>
      <c r="G42" s="18">
        <f>RHWM!N29</f>
        <v>82.577</v>
      </c>
      <c r="H42" s="18">
        <f>RHWM!O29</f>
        <v>88.179</v>
      </c>
      <c r="I42" s="18">
        <v>0</v>
      </c>
      <c r="J42" s="18">
        <v>0</v>
      </c>
      <c r="K42" s="18">
        <v>0</v>
      </c>
      <c r="L42" s="18">
        <v>0</v>
      </c>
      <c r="M42" s="18">
        <v>0</v>
      </c>
      <c r="N42" s="18">
        <v>0</v>
      </c>
      <c r="O42" s="81">
        <f t="shared" si="28"/>
        <v>88.179</v>
      </c>
      <c r="P42" s="63">
        <f t="shared" si="29"/>
        <v>82.577</v>
      </c>
      <c r="Q42" s="63">
        <f t="shared" si="30"/>
        <v>82.577</v>
      </c>
      <c r="R42" s="63">
        <f t="shared" si="31"/>
        <v>0</v>
      </c>
      <c r="S42" s="63">
        <f t="shared" si="32"/>
        <v>5.602000000000004</v>
      </c>
      <c r="T42" s="67">
        <f t="shared" si="6"/>
        <v>33.949064274110405</v>
      </c>
      <c r="U42" s="138">
        <f ca="1" t="shared" si="7"/>
        <v>0.91</v>
      </c>
      <c r="V42" s="66">
        <f ca="1" t="shared" si="8"/>
        <v>75.14507</v>
      </c>
      <c r="W42" s="66">
        <f ca="1" t="shared" si="33"/>
        <v>75.14507</v>
      </c>
      <c r="X42" s="66">
        <f ca="1" t="shared" si="34"/>
        <v>0</v>
      </c>
      <c r="Y42" s="63">
        <f ca="1" t="shared" si="35"/>
        <v>13.033929999999998</v>
      </c>
      <c r="Z42" s="67">
        <f ca="1" t="shared" si="9"/>
        <v>34.90901605903751</v>
      </c>
      <c r="AA42" s="68">
        <f ca="1" t="shared" si="10"/>
        <v>0.028276236928838294</v>
      </c>
      <c r="AB42" s="169">
        <f t="shared" si="36"/>
        <v>82.577</v>
      </c>
      <c r="AC42" s="169">
        <f t="shared" si="37"/>
        <v>82.577</v>
      </c>
      <c r="AD42" s="169">
        <v>0</v>
      </c>
      <c r="AE42" s="171">
        <f t="shared" si="38"/>
        <v>0</v>
      </c>
      <c r="AF42" s="182">
        <v>0</v>
      </c>
      <c r="AG42" s="182">
        <f t="shared" si="39"/>
        <v>0</v>
      </c>
      <c r="AH42" s="182">
        <f t="shared" si="40"/>
        <v>0</v>
      </c>
      <c r="AI42" s="182">
        <v>0</v>
      </c>
      <c r="AJ42" s="171">
        <f t="shared" si="41"/>
        <v>0</v>
      </c>
      <c r="AK42" s="171">
        <f t="shared" si="42"/>
        <v>82.577</v>
      </c>
      <c r="AL42" s="171">
        <f t="shared" si="43"/>
        <v>5.269900417271996</v>
      </c>
      <c r="AM42" s="171">
        <f t="shared" si="44"/>
        <v>87.846900417272</v>
      </c>
      <c r="AN42" s="81">
        <f t="shared" si="45"/>
        <v>87.846900417272</v>
      </c>
      <c r="AO42" s="63">
        <f t="shared" si="46"/>
        <v>82.577</v>
      </c>
      <c r="AP42" s="63">
        <f t="shared" si="47"/>
        <v>82.577</v>
      </c>
      <c r="AQ42" s="63">
        <f t="shared" si="48"/>
        <v>0</v>
      </c>
      <c r="AR42" s="63">
        <f t="shared" si="49"/>
        <v>5.269900417271998</v>
      </c>
      <c r="AS42" s="67">
        <f t="shared" si="11"/>
        <v>35.5763854636149</v>
      </c>
      <c r="AT42" s="65">
        <f ca="1" t="shared" si="12"/>
        <v>0.91</v>
      </c>
      <c r="AU42" s="66">
        <f ca="1" t="shared" si="50"/>
        <v>75.14507</v>
      </c>
      <c r="AV42" s="66">
        <f ca="1" t="shared" si="51"/>
        <v>75.14507</v>
      </c>
      <c r="AW42" s="66">
        <f ca="1" t="shared" si="52"/>
        <v>0</v>
      </c>
      <c r="AX42" s="63">
        <f ca="1" t="shared" si="53"/>
        <v>12.701830417271992</v>
      </c>
      <c r="AY42" s="67">
        <f ca="1" t="shared" si="13"/>
        <v>36.38031310262951</v>
      </c>
      <c r="AZ42" s="65">
        <f ca="1" t="shared" si="54"/>
        <v>0.0225972264618286</v>
      </c>
      <c r="BA42" s="68">
        <f ca="1" t="shared" si="14"/>
        <v>0.0421466202629075</v>
      </c>
      <c r="BB42" s="169">
        <f t="shared" si="55"/>
        <v>82.577</v>
      </c>
      <c r="BC42" s="169">
        <f t="shared" si="56"/>
        <v>82.577</v>
      </c>
      <c r="BD42" s="169">
        <v>0</v>
      </c>
      <c r="BE42" s="171">
        <f t="shared" si="57"/>
        <v>0</v>
      </c>
      <c r="BF42" s="182">
        <v>0</v>
      </c>
      <c r="BG42" s="182">
        <f t="shared" si="58"/>
        <v>0</v>
      </c>
      <c r="BH42" s="182">
        <f t="shared" si="59"/>
        <v>0</v>
      </c>
      <c r="BI42" s="169">
        <f t="shared" si="60"/>
        <v>0</v>
      </c>
      <c r="BJ42" s="171">
        <f t="shared" si="61"/>
        <v>82.577</v>
      </c>
      <c r="BK42" s="171">
        <f t="shared" si="62"/>
        <v>1.5843537634257947</v>
      </c>
      <c r="BL42" s="171">
        <f t="shared" si="63"/>
        <v>84.1613537634258</v>
      </c>
      <c r="BM42" s="81">
        <f t="shared" si="64"/>
        <v>84.1613537634258</v>
      </c>
      <c r="BN42" s="63">
        <f t="shared" si="15"/>
        <v>82.577</v>
      </c>
      <c r="BO42" s="63">
        <f t="shared" si="65"/>
        <v>82.577</v>
      </c>
      <c r="BP42" s="63">
        <f t="shared" si="66"/>
        <v>0</v>
      </c>
      <c r="BQ42" s="63">
        <f t="shared" si="67"/>
        <v>1.5843537634257956</v>
      </c>
      <c r="BR42" s="67">
        <f t="shared" si="68"/>
        <v>34.790963136607154</v>
      </c>
      <c r="BS42" s="69">
        <f ca="1" t="shared" si="16"/>
        <v>0.91</v>
      </c>
      <c r="BT42" s="66">
        <f ca="1" t="shared" si="69"/>
        <v>75.14507</v>
      </c>
      <c r="BU42" s="66">
        <f ca="1" t="shared" si="70"/>
        <v>75.14507</v>
      </c>
      <c r="BV42" s="66">
        <f ca="1" t="shared" si="71"/>
        <v>0</v>
      </c>
      <c r="BW42" s="63">
        <f ca="1" t="shared" si="72"/>
        <v>9.01628376342579</v>
      </c>
      <c r="BX42" s="67">
        <f ca="1" t="shared" si="17"/>
        <v>35.05800570624853</v>
      </c>
      <c r="BY42" s="65">
        <f ca="1" t="shared" si="73"/>
        <v>0.007675630266193778</v>
      </c>
      <c r="BZ42" s="68">
        <f ca="1" t="shared" si="18"/>
        <v>0.0042679417534727815</v>
      </c>
      <c r="CA42" s="81">
        <f t="shared" si="74"/>
        <v>82.577</v>
      </c>
      <c r="CB42" s="63">
        <f t="shared" si="75"/>
        <v>82.577</v>
      </c>
      <c r="CC42" s="67">
        <f t="shared" si="76"/>
        <v>35.90132553133049</v>
      </c>
      <c r="CD42" s="69">
        <f ca="1" t="shared" si="19"/>
        <v>0.91</v>
      </c>
      <c r="CE42" s="190">
        <f ca="1" t="shared" si="77"/>
        <v>75.14507</v>
      </c>
      <c r="CF42" s="70">
        <f ca="1" t="shared" si="78"/>
        <v>75.14507</v>
      </c>
      <c r="CG42" s="67">
        <f ca="1" t="shared" si="79"/>
        <v>39.30481757441425</v>
      </c>
      <c r="CH42" s="65">
        <f ca="1" t="shared" si="80"/>
        <v>0.09480129194989151</v>
      </c>
      <c r="CI42" s="65">
        <f ca="1" t="shared" si="20"/>
        <v>0.1259216675698518</v>
      </c>
      <c r="CJ42" s="68">
        <f ca="1" t="shared" si="81"/>
        <v>0.12113672134546993</v>
      </c>
      <c r="CL42" s="97">
        <f ca="1" t="shared" si="21"/>
        <v>22979586.389194485</v>
      </c>
      <c r="CM42" s="97">
        <f ca="1" t="shared" si="22"/>
        <v>23948098.290538542</v>
      </c>
      <c r="CN42" s="97">
        <f ca="1" t="shared" si="23"/>
        <v>23077661.92542246</v>
      </c>
      <c r="CO42" s="97">
        <f ca="1" t="shared" si="82"/>
        <v>25873214.22738732</v>
      </c>
      <c r="CQ42" s="97">
        <f t="shared" si="24"/>
        <v>24557888.073733762</v>
      </c>
      <c r="CR42" s="97">
        <f t="shared" si="25"/>
        <v>25735050.758077405</v>
      </c>
      <c r="CS42" s="97">
        <f t="shared" si="26"/>
        <v>25166896.259280894</v>
      </c>
      <c r="CT42" s="97">
        <f t="shared" si="83"/>
        <v>25970104.12358994</v>
      </c>
      <c r="CV42" s="97">
        <f ca="1" t="shared" si="27"/>
        <v>22979586.38919448</v>
      </c>
      <c r="CW42" s="97">
        <f ca="1" t="shared" si="84"/>
        <v>23948098.290538542</v>
      </c>
      <c r="CX42" s="97">
        <f ca="1" t="shared" si="85"/>
        <v>23948098.290538542</v>
      </c>
      <c r="CY42" s="97">
        <f ca="1" t="shared" si="86"/>
        <v>25873214.22738732</v>
      </c>
    </row>
    <row r="43" spans="2:103" ht="12.75">
      <c r="B43" s="14">
        <v>10080</v>
      </c>
      <c r="C43" s="15" t="s">
        <v>42</v>
      </c>
      <c r="D43" s="16">
        <f>RHWM!D30</f>
        <v>1</v>
      </c>
      <c r="E43" s="16">
        <f>RHWM!E30</f>
        <v>0</v>
      </c>
      <c r="F43" s="18">
        <f>RHWM!M30</f>
        <v>6.608</v>
      </c>
      <c r="G43" s="18">
        <f>RHWM!N30</f>
        <v>6.61</v>
      </c>
      <c r="H43" s="18">
        <f>RHWM!O30</f>
        <v>7.437</v>
      </c>
      <c r="I43" s="18">
        <v>0</v>
      </c>
      <c r="J43" s="18">
        <v>0</v>
      </c>
      <c r="K43" s="18">
        <v>0</v>
      </c>
      <c r="L43" s="18">
        <v>0</v>
      </c>
      <c r="M43" s="18">
        <v>0</v>
      </c>
      <c r="N43" s="18">
        <v>0</v>
      </c>
      <c r="O43" s="81">
        <f t="shared" si="28"/>
        <v>7.437</v>
      </c>
      <c r="P43" s="63">
        <f t="shared" si="29"/>
        <v>6.61</v>
      </c>
      <c r="Q43" s="63">
        <f t="shared" si="30"/>
        <v>6.61</v>
      </c>
      <c r="R43" s="63">
        <f t="shared" si="31"/>
        <v>0</v>
      </c>
      <c r="S43" s="63">
        <f t="shared" si="32"/>
        <v>0.827</v>
      </c>
      <c r="T43" s="67">
        <f t="shared" si="6"/>
        <v>33.949064274110405</v>
      </c>
      <c r="U43" s="138">
        <f ca="1" t="shared" si="7"/>
        <v>1.27</v>
      </c>
      <c r="V43" s="66">
        <f ca="1" t="shared" si="8"/>
        <v>8.3947</v>
      </c>
      <c r="W43" s="66">
        <f ca="1" t="shared" si="33"/>
        <v>7.437</v>
      </c>
      <c r="X43" s="66">
        <f ca="1" t="shared" si="34"/>
        <v>0.9577</v>
      </c>
      <c r="Y43" s="63">
        <f ca="1" t="shared" si="35"/>
        <v>0</v>
      </c>
      <c r="Z43" s="67">
        <f ca="1" t="shared" si="9"/>
        <v>38.127434742285246</v>
      </c>
      <c r="AA43" s="68">
        <f ca="1" t="shared" si="10"/>
        <v>0.12307763284542927</v>
      </c>
      <c r="AB43" s="169">
        <f t="shared" si="36"/>
        <v>6.61</v>
      </c>
      <c r="AC43" s="169">
        <f t="shared" si="37"/>
        <v>6.61</v>
      </c>
      <c r="AD43" s="169">
        <v>0</v>
      </c>
      <c r="AE43" s="171">
        <f t="shared" si="38"/>
        <v>0</v>
      </c>
      <c r="AF43" s="182">
        <v>0</v>
      </c>
      <c r="AG43" s="182">
        <f t="shared" si="39"/>
        <v>0</v>
      </c>
      <c r="AH43" s="182">
        <f t="shared" si="40"/>
        <v>0</v>
      </c>
      <c r="AI43" s="182">
        <v>0</v>
      </c>
      <c r="AJ43" s="171">
        <f t="shared" si="41"/>
        <v>0</v>
      </c>
      <c r="AK43" s="171">
        <f t="shared" si="42"/>
        <v>6.61</v>
      </c>
      <c r="AL43" s="171">
        <f t="shared" si="43"/>
        <v>0.4218370945683168</v>
      </c>
      <c r="AM43" s="171">
        <f t="shared" si="44"/>
        <v>7.031837094568317</v>
      </c>
      <c r="AN43" s="81">
        <f t="shared" si="45"/>
        <v>7.031837094568317</v>
      </c>
      <c r="AO43" s="63">
        <f t="shared" si="46"/>
        <v>6.61</v>
      </c>
      <c r="AP43" s="63">
        <f t="shared" si="47"/>
        <v>6.61</v>
      </c>
      <c r="AQ43" s="63">
        <f t="shared" si="48"/>
        <v>0</v>
      </c>
      <c r="AR43" s="63">
        <f t="shared" si="49"/>
        <v>0.42183709456831675</v>
      </c>
      <c r="AS43" s="67">
        <f t="shared" si="11"/>
        <v>35.5763854636149</v>
      </c>
      <c r="AT43" s="65">
        <f ca="1" t="shared" si="12"/>
        <v>1.27</v>
      </c>
      <c r="AU43" s="66">
        <f ca="1" t="shared" si="50"/>
        <v>8.3947</v>
      </c>
      <c r="AV43" s="66">
        <f ca="1" t="shared" si="51"/>
        <v>7.031837094568317</v>
      </c>
      <c r="AW43" s="66">
        <f ca="1" t="shared" si="52"/>
        <v>1.3628629054316832</v>
      </c>
      <c r="AX43" s="63">
        <f ca="1" t="shared" si="53"/>
        <v>0</v>
      </c>
      <c r="AY43" s="67">
        <f ca="1" t="shared" si="13"/>
        <v>40.72144826830355</v>
      </c>
      <c r="AZ43" s="65">
        <f ca="1" t="shared" si="54"/>
        <v>0.14462016693490876</v>
      </c>
      <c r="BA43" s="68">
        <f ca="1" t="shared" si="14"/>
        <v>0.06803535416300677</v>
      </c>
      <c r="BB43" s="169">
        <f t="shared" si="55"/>
        <v>6.61</v>
      </c>
      <c r="BC43" s="169">
        <f t="shared" si="56"/>
        <v>6.61</v>
      </c>
      <c r="BD43" s="169">
        <v>0</v>
      </c>
      <c r="BE43" s="171">
        <f t="shared" si="57"/>
        <v>0</v>
      </c>
      <c r="BF43" s="182">
        <v>0</v>
      </c>
      <c r="BG43" s="182">
        <f t="shared" si="58"/>
        <v>0</v>
      </c>
      <c r="BH43" s="182">
        <f t="shared" si="59"/>
        <v>0</v>
      </c>
      <c r="BI43" s="169">
        <f t="shared" si="60"/>
        <v>0</v>
      </c>
      <c r="BJ43" s="171">
        <f t="shared" si="61"/>
        <v>6.61</v>
      </c>
      <c r="BK43" s="171">
        <f t="shared" si="62"/>
        <v>0.12682197677615442</v>
      </c>
      <c r="BL43" s="171">
        <f t="shared" si="63"/>
        <v>6.736821976776155</v>
      </c>
      <c r="BM43" s="81">
        <f t="shared" si="64"/>
        <v>6.736821976776155</v>
      </c>
      <c r="BN43" s="63">
        <f t="shared" si="15"/>
        <v>6.61</v>
      </c>
      <c r="BO43" s="63">
        <f t="shared" si="65"/>
        <v>6.61</v>
      </c>
      <c r="BP43" s="63">
        <f t="shared" si="66"/>
        <v>0</v>
      </c>
      <c r="BQ43" s="63">
        <f t="shared" si="67"/>
        <v>0.1268219767761547</v>
      </c>
      <c r="BR43" s="67">
        <f t="shared" si="68"/>
        <v>34.790963136607154</v>
      </c>
      <c r="BS43" s="69">
        <f ca="1" t="shared" si="16"/>
        <v>1.27</v>
      </c>
      <c r="BT43" s="66">
        <f ca="1" t="shared" si="69"/>
        <v>8.3947</v>
      </c>
      <c r="BU43" s="66">
        <f ca="1" t="shared" si="70"/>
        <v>6.736821976776155</v>
      </c>
      <c r="BV43" s="66">
        <f ca="1" t="shared" si="71"/>
        <v>1.6578780232238453</v>
      </c>
      <c r="BW43" s="63">
        <f ca="1" t="shared" si="72"/>
        <v>0</v>
      </c>
      <c r="BX43" s="67">
        <f ca="1" t="shared" si="17"/>
        <v>40.599998109484325</v>
      </c>
      <c r="BY43" s="65">
        <f ca="1" t="shared" si="73"/>
        <v>0.1669696510001153</v>
      </c>
      <c r="BZ43" s="68">
        <f ca="1" t="shared" si="18"/>
        <v>0.06484997965144723</v>
      </c>
      <c r="CA43" s="81">
        <f t="shared" si="74"/>
        <v>6.61</v>
      </c>
      <c r="CB43" s="63">
        <f t="shared" si="75"/>
        <v>6.61</v>
      </c>
      <c r="CC43" s="67">
        <f t="shared" si="76"/>
        <v>35.90132553133049</v>
      </c>
      <c r="CD43" s="69">
        <f ca="1" t="shared" si="19"/>
        <v>1.27</v>
      </c>
      <c r="CE43" s="190">
        <f ca="1" t="shared" si="77"/>
        <v>8.3947</v>
      </c>
      <c r="CF43" s="70">
        <f ca="1" t="shared" si="78"/>
        <v>8.3947</v>
      </c>
      <c r="CG43" s="67">
        <f ca="1" t="shared" si="79"/>
        <v>39.30481757441425</v>
      </c>
      <c r="CH43" s="65">
        <f ca="1" t="shared" si="80"/>
        <v>0.09480129194989151</v>
      </c>
      <c r="CI43" s="65">
        <f ca="1" t="shared" si="20"/>
        <v>0.03088020057177432</v>
      </c>
      <c r="CJ43" s="68">
        <f ca="1" t="shared" si="81"/>
        <v>-0.03190099988619244</v>
      </c>
      <c r="CL43" s="97">
        <f ca="1" t="shared" si="21"/>
        <v>2803798.9775361028</v>
      </c>
      <c r="CM43" s="97">
        <f ca="1" t="shared" si="22"/>
        <v>2994556.433974648</v>
      </c>
      <c r="CN43" s="97">
        <f ca="1" t="shared" si="23"/>
        <v>2985625.2841760674</v>
      </c>
      <c r="CO43" s="97">
        <f ca="1" t="shared" si="82"/>
        <v>2890380.8523253533</v>
      </c>
      <c r="CQ43" s="97">
        <f t="shared" si="24"/>
        <v>1965773.0381023795</v>
      </c>
      <c r="CR43" s="97">
        <f t="shared" si="25"/>
        <v>2060000.7933309719</v>
      </c>
      <c r="CS43" s="97">
        <f t="shared" si="26"/>
        <v>2014522.0130768463</v>
      </c>
      <c r="CT43" s="97">
        <f t="shared" si="83"/>
        <v>2078815.9930359486</v>
      </c>
      <c r="CV43" s="97">
        <f ca="1" t="shared" si="27"/>
        <v>2803798.9775361028</v>
      </c>
      <c r="CW43" s="97">
        <f ca="1" t="shared" si="84"/>
        <v>2994556.433974648</v>
      </c>
      <c r="CX43" s="97">
        <f ca="1" t="shared" si="85"/>
        <v>2994556.433974648</v>
      </c>
      <c r="CY43" s="97">
        <f ca="1" t="shared" si="86"/>
        <v>2890380.8523253533</v>
      </c>
    </row>
    <row r="44" spans="2:103" ht="12.75">
      <c r="B44" s="14">
        <v>10081</v>
      </c>
      <c r="C44" s="15" t="s">
        <v>43</v>
      </c>
      <c r="D44" s="16">
        <f>RHWM!D31</f>
        <v>1</v>
      </c>
      <c r="E44" s="16">
        <f>RHWM!E31</f>
        <v>0</v>
      </c>
      <c r="F44" s="18">
        <f>RHWM!M31</f>
        <v>9.113</v>
      </c>
      <c r="G44" s="18">
        <f>RHWM!N31</f>
        <v>9.111</v>
      </c>
      <c r="H44" s="18">
        <f>RHWM!O31</f>
        <v>10.455</v>
      </c>
      <c r="I44" s="18">
        <v>0</v>
      </c>
      <c r="J44" s="18">
        <v>0</v>
      </c>
      <c r="K44" s="18">
        <v>0</v>
      </c>
      <c r="L44" s="18">
        <v>0</v>
      </c>
      <c r="M44" s="18">
        <v>0</v>
      </c>
      <c r="N44" s="18">
        <v>0</v>
      </c>
      <c r="O44" s="81">
        <f t="shared" si="28"/>
        <v>10.455</v>
      </c>
      <c r="P44" s="63">
        <f t="shared" si="29"/>
        <v>9.111</v>
      </c>
      <c r="Q44" s="63">
        <f t="shared" si="30"/>
        <v>9.111</v>
      </c>
      <c r="R44" s="63">
        <f t="shared" si="31"/>
        <v>0</v>
      </c>
      <c r="S44" s="63">
        <f t="shared" si="32"/>
        <v>1.3439999999999994</v>
      </c>
      <c r="T44" s="67">
        <f t="shared" si="6"/>
        <v>33.949064274110405</v>
      </c>
      <c r="U44" s="138">
        <f ca="1" t="shared" si="7"/>
        <v>0.94</v>
      </c>
      <c r="V44" s="66">
        <f ca="1" t="shared" si="8"/>
        <v>8.56434</v>
      </c>
      <c r="W44" s="66">
        <f ca="1" t="shared" si="33"/>
        <v>8.56434</v>
      </c>
      <c r="X44" s="66">
        <f ca="1" t="shared" si="34"/>
        <v>0</v>
      </c>
      <c r="Y44" s="63">
        <f ca="1" t="shared" si="35"/>
        <v>1.8906600000000005</v>
      </c>
      <c r="Z44" s="67">
        <f ca="1" t="shared" si="9"/>
        <v>34.90901605903751</v>
      </c>
      <c r="AA44" s="68">
        <f ca="1" t="shared" si="10"/>
        <v>0.028276236928838294</v>
      </c>
      <c r="AB44" s="169">
        <f t="shared" si="36"/>
        <v>9.111</v>
      </c>
      <c r="AC44" s="169">
        <f t="shared" si="37"/>
        <v>9.111</v>
      </c>
      <c r="AD44" s="169">
        <v>0.0175</v>
      </c>
      <c r="AE44" s="171">
        <f t="shared" si="38"/>
        <v>0.00875</v>
      </c>
      <c r="AF44" s="182">
        <v>0</v>
      </c>
      <c r="AG44" s="182">
        <f t="shared" si="39"/>
        <v>0</v>
      </c>
      <c r="AH44" s="182">
        <f t="shared" si="40"/>
        <v>0</v>
      </c>
      <c r="AI44" s="182">
        <v>0</v>
      </c>
      <c r="AJ44" s="171">
        <f t="shared" si="41"/>
        <v>0</v>
      </c>
      <c r="AK44" s="171">
        <f t="shared" si="42"/>
        <v>9.11975</v>
      </c>
      <c r="AL44" s="171">
        <f t="shared" si="43"/>
        <v>0.5820043635687453</v>
      </c>
      <c r="AM44" s="171">
        <f t="shared" si="44"/>
        <v>9.701754363568746</v>
      </c>
      <c r="AN44" s="81">
        <f t="shared" si="45"/>
        <v>9.701754363568746</v>
      </c>
      <c r="AO44" s="63">
        <f t="shared" si="46"/>
        <v>9.111</v>
      </c>
      <c r="AP44" s="63">
        <f t="shared" si="47"/>
        <v>9.111</v>
      </c>
      <c r="AQ44" s="63">
        <f t="shared" si="48"/>
        <v>0</v>
      </c>
      <c r="AR44" s="63">
        <f t="shared" si="49"/>
        <v>0.5907543635687453</v>
      </c>
      <c r="AS44" s="67">
        <f t="shared" si="11"/>
        <v>35.5763854636149</v>
      </c>
      <c r="AT44" s="65">
        <f ca="1" t="shared" si="12"/>
        <v>0.94</v>
      </c>
      <c r="AU44" s="66">
        <f ca="1" t="shared" si="50"/>
        <v>8.56434</v>
      </c>
      <c r="AV44" s="66">
        <f ca="1" t="shared" si="51"/>
        <v>8.56434</v>
      </c>
      <c r="AW44" s="66">
        <f ca="1" t="shared" si="52"/>
        <v>0</v>
      </c>
      <c r="AX44" s="63">
        <f ca="1" t="shared" si="53"/>
        <v>1.1374143635687464</v>
      </c>
      <c r="AY44" s="67">
        <f ca="1" t="shared" si="13"/>
        <v>36.38031310262951</v>
      </c>
      <c r="AZ44" s="65">
        <f ca="1" t="shared" si="54"/>
        <v>0.0225972264618286</v>
      </c>
      <c r="BA44" s="68">
        <f ca="1" t="shared" si="14"/>
        <v>0.0421466202629075</v>
      </c>
      <c r="BB44" s="169">
        <f t="shared" si="55"/>
        <v>9.111</v>
      </c>
      <c r="BC44" s="169">
        <f t="shared" si="56"/>
        <v>9.111</v>
      </c>
      <c r="BD44" s="169">
        <v>0.0175</v>
      </c>
      <c r="BE44" s="171">
        <f t="shared" si="57"/>
        <v>0.00875</v>
      </c>
      <c r="BF44" s="182">
        <v>0</v>
      </c>
      <c r="BG44" s="182">
        <f t="shared" si="58"/>
        <v>0</v>
      </c>
      <c r="BH44" s="182">
        <f t="shared" si="59"/>
        <v>0</v>
      </c>
      <c r="BI44" s="169">
        <f t="shared" si="60"/>
        <v>0</v>
      </c>
      <c r="BJ44" s="171">
        <f t="shared" si="61"/>
        <v>9.11975</v>
      </c>
      <c r="BK44" s="171">
        <f t="shared" si="62"/>
        <v>0.1749749958705498</v>
      </c>
      <c r="BL44" s="171">
        <f t="shared" si="63"/>
        <v>9.29472499587055</v>
      </c>
      <c r="BM44" s="81">
        <f t="shared" si="64"/>
        <v>9.29472499587055</v>
      </c>
      <c r="BN44" s="63">
        <f t="shared" si="15"/>
        <v>9.111</v>
      </c>
      <c r="BO44" s="63">
        <f t="shared" si="65"/>
        <v>9.111</v>
      </c>
      <c r="BP44" s="63">
        <f t="shared" si="66"/>
        <v>0</v>
      </c>
      <c r="BQ44" s="63">
        <f t="shared" si="67"/>
        <v>0.18372499587054847</v>
      </c>
      <c r="BR44" s="67">
        <f t="shared" si="68"/>
        <v>34.790963136607154</v>
      </c>
      <c r="BS44" s="69">
        <f ca="1" t="shared" si="16"/>
        <v>0.94</v>
      </c>
      <c r="BT44" s="66">
        <f ca="1" t="shared" si="69"/>
        <v>8.56434</v>
      </c>
      <c r="BU44" s="66">
        <f ca="1" t="shared" si="70"/>
        <v>8.56434</v>
      </c>
      <c r="BV44" s="66">
        <f ca="1" t="shared" si="71"/>
        <v>0</v>
      </c>
      <c r="BW44" s="63">
        <f ca="1" t="shared" si="72"/>
        <v>0.7303849958705495</v>
      </c>
      <c r="BX44" s="67">
        <f ca="1" t="shared" si="17"/>
        <v>35.05800570624853</v>
      </c>
      <c r="BY44" s="65">
        <f ca="1" t="shared" si="73"/>
        <v>0.007675630266193778</v>
      </c>
      <c r="BZ44" s="68">
        <f ca="1" t="shared" si="18"/>
        <v>0.0042679417534727815</v>
      </c>
      <c r="CA44" s="81">
        <f t="shared" si="74"/>
        <v>9.111</v>
      </c>
      <c r="CB44" s="63">
        <f t="shared" si="75"/>
        <v>9.111</v>
      </c>
      <c r="CC44" s="67">
        <f t="shared" si="76"/>
        <v>35.90132553133049</v>
      </c>
      <c r="CD44" s="69">
        <f ca="1" t="shared" si="19"/>
        <v>0.94</v>
      </c>
      <c r="CE44" s="190">
        <f ca="1" t="shared" si="77"/>
        <v>8.56434</v>
      </c>
      <c r="CF44" s="70">
        <f ca="1" t="shared" si="78"/>
        <v>8.56434</v>
      </c>
      <c r="CG44" s="67">
        <f ca="1" t="shared" si="79"/>
        <v>39.30481757441425</v>
      </c>
      <c r="CH44" s="65">
        <f ca="1" t="shared" si="80"/>
        <v>0.09480129194989151</v>
      </c>
      <c r="CI44" s="65">
        <f ca="1" t="shared" si="20"/>
        <v>0.1259216675698518</v>
      </c>
      <c r="CJ44" s="68">
        <f ca="1" t="shared" si="81"/>
        <v>0.12113672134546993</v>
      </c>
      <c r="CL44" s="97">
        <f ca="1" t="shared" si="21"/>
        <v>2619000.699532702</v>
      </c>
      <c r="CM44" s="97">
        <f ca="1" t="shared" si="22"/>
        <v>2729382.727484196</v>
      </c>
      <c r="CN44" s="97">
        <f ca="1" t="shared" si="23"/>
        <v>2630178.441970612</v>
      </c>
      <c r="CO44" s="97">
        <f ca="1" t="shared" si="82"/>
        <v>2948789.634984468</v>
      </c>
      <c r="CQ44" s="97">
        <f t="shared" si="24"/>
        <v>2709554.9395084386</v>
      </c>
      <c r="CR44" s="97">
        <f t="shared" si="25"/>
        <v>2839435.284120799</v>
      </c>
      <c r="CS44" s="97">
        <f t="shared" si="26"/>
        <v>2776748.8746056193</v>
      </c>
      <c r="CT44" s="97">
        <f t="shared" si="83"/>
        <v>2865369.5177837405</v>
      </c>
      <c r="CV44" s="97">
        <f ca="1" t="shared" si="27"/>
        <v>2619000.699532702</v>
      </c>
      <c r="CW44" s="97">
        <f ca="1" t="shared" si="84"/>
        <v>2729382.727484196</v>
      </c>
      <c r="CX44" s="97">
        <f ca="1" t="shared" si="85"/>
        <v>2729382.727484196</v>
      </c>
      <c r="CY44" s="97">
        <f ca="1" t="shared" si="86"/>
        <v>2948789.634984468</v>
      </c>
    </row>
    <row r="45" spans="2:103" ht="12.75">
      <c r="B45" s="14">
        <v>10082</v>
      </c>
      <c r="C45" s="15" t="s">
        <v>44</v>
      </c>
      <c r="D45" s="16">
        <f>RHWM!D32</f>
        <v>1</v>
      </c>
      <c r="E45" s="16">
        <f>RHWM!E32</f>
        <v>0</v>
      </c>
      <c r="F45" s="18">
        <f>RHWM!M32</f>
        <v>0.099</v>
      </c>
      <c r="G45" s="18">
        <f>RHWM!N32</f>
        <v>0.099</v>
      </c>
      <c r="H45" s="18">
        <f>RHWM!O32</f>
        <v>0.118</v>
      </c>
      <c r="I45" s="18">
        <v>0</v>
      </c>
      <c r="J45" s="18">
        <v>0</v>
      </c>
      <c r="K45" s="18">
        <v>0</v>
      </c>
      <c r="L45" s="18">
        <v>0</v>
      </c>
      <c r="M45" s="18">
        <v>0</v>
      </c>
      <c r="N45" s="18">
        <v>0</v>
      </c>
      <c r="O45" s="81">
        <f t="shared" si="28"/>
        <v>0.118</v>
      </c>
      <c r="P45" s="63">
        <f t="shared" si="29"/>
        <v>0.099</v>
      </c>
      <c r="Q45" s="63">
        <f t="shared" si="30"/>
        <v>0.099</v>
      </c>
      <c r="R45" s="63">
        <f t="shared" si="31"/>
        <v>0</v>
      </c>
      <c r="S45" s="63">
        <f t="shared" si="32"/>
        <v>0.01899999999999999</v>
      </c>
      <c r="T45" s="67">
        <f t="shared" si="6"/>
        <v>33.949064274110405</v>
      </c>
      <c r="U45" s="138">
        <f ca="1" t="shared" si="7"/>
        <v>1.11</v>
      </c>
      <c r="V45" s="66">
        <f ca="1" t="shared" si="8"/>
        <v>0.10989000000000002</v>
      </c>
      <c r="W45" s="66">
        <f ca="1" t="shared" si="33"/>
        <v>0.10989000000000002</v>
      </c>
      <c r="X45" s="66">
        <f ca="1" t="shared" si="34"/>
        <v>0</v>
      </c>
      <c r="Y45" s="63">
        <f ca="1" t="shared" si="35"/>
        <v>0.008109999999999978</v>
      </c>
      <c r="Z45" s="67">
        <f ca="1" t="shared" si="9"/>
        <v>34.90901605903751</v>
      </c>
      <c r="AA45" s="68">
        <f ca="1" t="shared" si="10"/>
        <v>0.028276236928838294</v>
      </c>
      <c r="AB45" s="169">
        <f t="shared" si="36"/>
        <v>0.099</v>
      </c>
      <c r="AC45" s="169">
        <f t="shared" si="37"/>
        <v>0.198</v>
      </c>
      <c r="AD45" s="169">
        <v>0</v>
      </c>
      <c r="AE45" s="171">
        <f t="shared" si="38"/>
        <v>0</v>
      </c>
      <c r="AF45" s="182">
        <v>0</v>
      </c>
      <c r="AG45" s="182">
        <f t="shared" si="39"/>
        <v>0</v>
      </c>
      <c r="AH45" s="182">
        <f t="shared" si="40"/>
        <v>0</v>
      </c>
      <c r="AI45" s="182">
        <v>0</v>
      </c>
      <c r="AJ45" s="171">
        <f t="shared" si="41"/>
        <v>0</v>
      </c>
      <c r="AK45" s="171">
        <f t="shared" si="42"/>
        <v>0.198</v>
      </c>
      <c r="AL45" s="171">
        <f t="shared" si="43"/>
        <v>0.012635967431849733</v>
      </c>
      <c r="AM45" s="171">
        <f t="shared" si="44"/>
        <v>0.21063596743184973</v>
      </c>
      <c r="AN45" s="81">
        <f t="shared" si="45"/>
        <v>0.21063596743184973</v>
      </c>
      <c r="AO45" s="63">
        <f t="shared" si="46"/>
        <v>0.099</v>
      </c>
      <c r="AP45" s="63">
        <f t="shared" si="47"/>
        <v>0.099</v>
      </c>
      <c r="AQ45" s="63">
        <f t="shared" si="48"/>
        <v>0</v>
      </c>
      <c r="AR45" s="63">
        <f t="shared" si="49"/>
        <v>0.11163596743184973</v>
      </c>
      <c r="AS45" s="67">
        <f t="shared" si="11"/>
        <v>35.5763854636149</v>
      </c>
      <c r="AT45" s="65">
        <f ca="1" t="shared" si="12"/>
        <v>1.11</v>
      </c>
      <c r="AU45" s="66">
        <f ca="1" t="shared" si="50"/>
        <v>0.10989000000000002</v>
      </c>
      <c r="AV45" s="66">
        <f ca="1" t="shared" si="51"/>
        <v>0.10989000000000002</v>
      </c>
      <c r="AW45" s="66">
        <f ca="1" t="shared" si="52"/>
        <v>0</v>
      </c>
      <c r="AX45" s="63">
        <f ca="1" t="shared" si="53"/>
        <v>0.10074596743184971</v>
      </c>
      <c r="AY45" s="67">
        <f ca="1" t="shared" si="13"/>
        <v>36.38031310262951</v>
      </c>
      <c r="AZ45" s="65">
        <f ca="1" t="shared" si="54"/>
        <v>0.0225972264618286</v>
      </c>
      <c r="BA45" s="68">
        <f ca="1" t="shared" si="14"/>
        <v>0.0421466202629075</v>
      </c>
      <c r="BB45" s="169">
        <f t="shared" si="55"/>
        <v>0.099</v>
      </c>
      <c r="BC45" s="169">
        <f t="shared" si="56"/>
        <v>0.198</v>
      </c>
      <c r="BD45" s="169">
        <v>0</v>
      </c>
      <c r="BE45" s="171">
        <f t="shared" si="57"/>
        <v>0</v>
      </c>
      <c r="BF45" s="182">
        <v>0</v>
      </c>
      <c r="BG45" s="182">
        <f t="shared" si="58"/>
        <v>0</v>
      </c>
      <c r="BH45" s="182">
        <f t="shared" si="59"/>
        <v>0</v>
      </c>
      <c r="BI45" s="169">
        <f t="shared" si="60"/>
        <v>0</v>
      </c>
      <c r="BJ45" s="171">
        <f t="shared" si="61"/>
        <v>0.198</v>
      </c>
      <c r="BK45" s="171">
        <f t="shared" si="62"/>
        <v>0.003798903389058786</v>
      </c>
      <c r="BL45" s="171">
        <f t="shared" si="63"/>
        <v>0.2017989033890588</v>
      </c>
      <c r="BM45" s="81">
        <f t="shared" si="64"/>
        <v>0.2017989033890588</v>
      </c>
      <c r="BN45" s="63">
        <f t="shared" si="15"/>
        <v>0.099</v>
      </c>
      <c r="BO45" s="63">
        <f t="shared" si="65"/>
        <v>0.099</v>
      </c>
      <c r="BP45" s="63">
        <f t="shared" si="66"/>
        <v>0</v>
      </c>
      <c r="BQ45" s="63">
        <f t="shared" si="67"/>
        <v>0.10279890338905878</v>
      </c>
      <c r="BR45" s="67">
        <f t="shared" si="68"/>
        <v>34.790963136607154</v>
      </c>
      <c r="BS45" s="69">
        <f ca="1" t="shared" si="16"/>
        <v>1.11</v>
      </c>
      <c r="BT45" s="66">
        <f ca="1" t="shared" si="69"/>
        <v>0.10989000000000002</v>
      </c>
      <c r="BU45" s="66">
        <f ca="1" t="shared" si="70"/>
        <v>0.10989000000000002</v>
      </c>
      <c r="BV45" s="66">
        <f ca="1" t="shared" si="71"/>
        <v>0</v>
      </c>
      <c r="BW45" s="63">
        <f ca="1" t="shared" si="72"/>
        <v>0.09190890338905877</v>
      </c>
      <c r="BX45" s="67">
        <f ca="1" t="shared" si="17"/>
        <v>35.05800570624853</v>
      </c>
      <c r="BY45" s="65">
        <f ca="1" t="shared" si="73"/>
        <v>0.007675630266193778</v>
      </c>
      <c r="BZ45" s="68">
        <f ca="1" t="shared" si="18"/>
        <v>0.0042679417534727815</v>
      </c>
      <c r="CA45" s="81">
        <f t="shared" si="74"/>
        <v>0.099</v>
      </c>
      <c r="CB45" s="63">
        <f t="shared" si="75"/>
        <v>0.099</v>
      </c>
      <c r="CC45" s="67">
        <f t="shared" si="76"/>
        <v>35.90132553133049</v>
      </c>
      <c r="CD45" s="69">
        <f ca="1" t="shared" si="19"/>
        <v>1.11</v>
      </c>
      <c r="CE45" s="190">
        <f ca="1" t="shared" si="77"/>
        <v>0.10989000000000002</v>
      </c>
      <c r="CF45" s="70">
        <f ca="1" t="shared" si="78"/>
        <v>0.10989000000000002</v>
      </c>
      <c r="CG45" s="67">
        <f ca="1" t="shared" si="79"/>
        <v>39.30481757441425</v>
      </c>
      <c r="CH45" s="65">
        <f ca="1" t="shared" si="80"/>
        <v>0.09480129194989151</v>
      </c>
      <c r="CI45" s="65">
        <f ca="1" t="shared" si="20"/>
        <v>0.1259216675698518</v>
      </c>
      <c r="CJ45" s="68">
        <f ca="1" t="shared" si="81"/>
        <v>0.12113672134546993</v>
      </c>
      <c r="CL45" s="97">
        <f ca="1" t="shared" si="21"/>
        <v>33604.68954661406</v>
      </c>
      <c r="CM45" s="97">
        <f ca="1" t="shared" si="22"/>
        <v>35021.01363598811</v>
      </c>
      <c r="CN45" s="97">
        <f ca="1" t="shared" si="23"/>
        <v>33748.11240424254</v>
      </c>
      <c r="CO45" s="97">
        <f ca="1" t="shared" si="82"/>
        <v>37836.248092490874</v>
      </c>
      <c r="CQ45" s="97">
        <f t="shared" si="24"/>
        <v>29441.986501079507</v>
      </c>
      <c r="CR45" s="97">
        <f t="shared" si="25"/>
        <v>30853.264529465385</v>
      </c>
      <c r="CS45" s="97">
        <f t="shared" si="26"/>
        <v>30172.114870591187</v>
      </c>
      <c r="CT45" s="97">
        <f t="shared" si="83"/>
        <v>31135.065553791057</v>
      </c>
      <c r="CV45" s="97">
        <f ca="1" t="shared" si="27"/>
        <v>33604.68954661406</v>
      </c>
      <c r="CW45" s="97">
        <f ca="1" t="shared" si="84"/>
        <v>35021.0136359881</v>
      </c>
      <c r="CX45" s="97">
        <f ca="1" t="shared" si="85"/>
        <v>35021.0136359881</v>
      </c>
      <c r="CY45" s="97">
        <f ca="1" t="shared" si="86"/>
        <v>37836.248092490874</v>
      </c>
    </row>
    <row r="46" spans="2:103" ht="12.75">
      <c r="B46" s="14">
        <v>10083</v>
      </c>
      <c r="C46" s="15" t="s">
        <v>45</v>
      </c>
      <c r="D46" s="16">
        <f>RHWM!D33</f>
        <v>1</v>
      </c>
      <c r="E46" s="16">
        <f>RHWM!E33</f>
        <v>0</v>
      </c>
      <c r="F46" s="18">
        <f>RHWM!M33</f>
        <v>8.699</v>
      </c>
      <c r="G46" s="18">
        <f>RHWM!N33</f>
        <v>8.742</v>
      </c>
      <c r="H46" s="18">
        <f>RHWM!O33</f>
        <v>8.363</v>
      </c>
      <c r="I46" s="18">
        <v>0.336</v>
      </c>
      <c r="J46" s="18">
        <v>0.379</v>
      </c>
      <c r="K46" s="18">
        <v>0.336</v>
      </c>
      <c r="L46" s="18">
        <v>0.379</v>
      </c>
      <c r="M46" s="18">
        <v>0</v>
      </c>
      <c r="N46" s="18">
        <v>0</v>
      </c>
      <c r="O46" s="81">
        <f t="shared" si="28"/>
        <v>8.363</v>
      </c>
      <c r="P46" s="63">
        <f t="shared" si="29"/>
        <v>8.742</v>
      </c>
      <c r="Q46" s="63">
        <f t="shared" si="30"/>
        <v>8.363</v>
      </c>
      <c r="R46" s="63">
        <f t="shared" si="31"/>
        <v>0.37900000000000134</v>
      </c>
      <c r="S46" s="63">
        <f t="shared" si="32"/>
        <v>0</v>
      </c>
      <c r="T46" s="67">
        <f t="shared" si="6"/>
        <v>35.21373879254008</v>
      </c>
      <c r="U46" s="138">
        <f ca="1" t="shared" si="7"/>
        <v>1.27</v>
      </c>
      <c r="V46" s="66">
        <f ca="1" t="shared" si="8"/>
        <v>11.102340000000002</v>
      </c>
      <c r="W46" s="66">
        <f ca="1" t="shared" si="33"/>
        <v>8.363</v>
      </c>
      <c r="X46" s="66">
        <f ca="1" t="shared" si="34"/>
        <v>2.739340000000002</v>
      </c>
      <c r="Y46" s="63">
        <f ca="1" t="shared" si="35"/>
        <v>0</v>
      </c>
      <c r="Z46" s="67">
        <f ca="1" t="shared" si="9"/>
        <v>41.86966370168187</v>
      </c>
      <c r="AA46" s="68">
        <f ca="1" t="shared" si="10"/>
        <v>0.18901500202392119</v>
      </c>
      <c r="AB46" s="169">
        <f t="shared" si="36"/>
        <v>8.363</v>
      </c>
      <c r="AC46" s="169">
        <f t="shared" si="37"/>
        <v>8.363</v>
      </c>
      <c r="AD46" s="169">
        <v>0.048</v>
      </c>
      <c r="AE46" s="171">
        <f t="shared" si="38"/>
        <v>0.024</v>
      </c>
      <c r="AF46" s="182">
        <v>0</v>
      </c>
      <c r="AG46" s="182">
        <f t="shared" si="39"/>
        <v>0</v>
      </c>
      <c r="AH46" s="182">
        <f t="shared" si="40"/>
        <v>0</v>
      </c>
      <c r="AI46" s="182">
        <v>0</v>
      </c>
      <c r="AJ46" s="171">
        <f t="shared" si="41"/>
        <v>0.18950000000000067</v>
      </c>
      <c r="AK46" s="171">
        <f t="shared" si="42"/>
        <v>8.5765</v>
      </c>
      <c r="AL46" s="171">
        <f t="shared" si="43"/>
        <v>0.5473352256528243</v>
      </c>
      <c r="AM46" s="171">
        <f t="shared" si="44"/>
        <v>9.123835225652824</v>
      </c>
      <c r="AN46" s="81">
        <f t="shared" si="45"/>
        <v>9.123835225652824</v>
      </c>
      <c r="AO46" s="63">
        <f t="shared" si="46"/>
        <v>8.742</v>
      </c>
      <c r="AP46" s="63">
        <f t="shared" si="47"/>
        <v>8.742</v>
      </c>
      <c r="AQ46" s="63">
        <f t="shared" si="48"/>
        <v>0</v>
      </c>
      <c r="AR46" s="63">
        <f t="shared" si="49"/>
        <v>0.38183522565282324</v>
      </c>
      <c r="AS46" s="67">
        <f t="shared" si="11"/>
        <v>35.5763854636149</v>
      </c>
      <c r="AT46" s="65">
        <f ca="1" t="shared" si="12"/>
        <v>1.27</v>
      </c>
      <c r="AU46" s="66">
        <f ca="1" t="shared" si="50"/>
        <v>11.102340000000002</v>
      </c>
      <c r="AV46" s="66">
        <f ca="1" t="shared" si="51"/>
        <v>9.123835225652824</v>
      </c>
      <c r="AW46" s="66">
        <f ca="1" t="shared" si="52"/>
        <v>1.9785047743471775</v>
      </c>
      <c r="AX46" s="63">
        <f ca="1" t="shared" si="53"/>
        <v>0</v>
      </c>
      <c r="AY46" s="67">
        <f ca="1" t="shared" si="13"/>
        <v>41.14548856933258</v>
      </c>
      <c r="AZ46" s="65">
        <f ca="1" t="shared" si="54"/>
        <v>0.15653931767220652</v>
      </c>
      <c r="BA46" s="68">
        <f ca="1" t="shared" si="14"/>
        <v>-0.01729593859432421</v>
      </c>
      <c r="BB46" s="169">
        <f t="shared" si="55"/>
        <v>8.363</v>
      </c>
      <c r="BC46" s="169">
        <f t="shared" si="56"/>
        <v>8.363</v>
      </c>
      <c r="BD46" s="169">
        <v>0.048</v>
      </c>
      <c r="BE46" s="171">
        <f t="shared" si="57"/>
        <v>0.024</v>
      </c>
      <c r="BF46" s="182">
        <v>0</v>
      </c>
      <c r="BG46" s="182">
        <f t="shared" si="58"/>
        <v>0</v>
      </c>
      <c r="BH46" s="182">
        <f t="shared" si="59"/>
        <v>0</v>
      </c>
      <c r="BI46" s="169">
        <f t="shared" si="60"/>
        <v>0.09475000000000033</v>
      </c>
      <c r="BJ46" s="171">
        <f t="shared" si="61"/>
        <v>8.481749999999998</v>
      </c>
      <c r="BK46" s="171">
        <f t="shared" si="62"/>
        <v>0.1627340849502492</v>
      </c>
      <c r="BL46" s="171">
        <f t="shared" si="63"/>
        <v>8.644484084950248</v>
      </c>
      <c r="BM46" s="81">
        <f t="shared" si="64"/>
        <v>8.644484084950248</v>
      </c>
      <c r="BN46" s="63">
        <f t="shared" si="15"/>
        <v>8.742</v>
      </c>
      <c r="BO46" s="63">
        <f t="shared" si="65"/>
        <v>8.644484084950248</v>
      </c>
      <c r="BP46" s="63">
        <f t="shared" si="66"/>
        <v>0.09751591504975288</v>
      </c>
      <c r="BQ46" s="63">
        <f t="shared" si="67"/>
        <v>0</v>
      </c>
      <c r="BR46" s="67">
        <f t="shared" si="68"/>
        <v>35.106969994558646</v>
      </c>
      <c r="BS46" s="69">
        <f ca="1" t="shared" si="16"/>
        <v>1.27</v>
      </c>
      <c r="BT46" s="66">
        <f ca="1" t="shared" si="69"/>
        <v>11.102340000000002</v>
      </c>
      <c r="BU46" s="66">
        <f ca="1" t="shared" si="70"/>
        <v>8.644484084950248</v>
      </c>
      <c r="BV46" s="66">
        <f ca="1" t="shared" si="71"/>
        <v>2.4578559150497536</v>
      </c>
      <c r="BW46" s="63">
        <f ca="1" t="shared" si="72"/>
        <v>0</v>
      </c>
      <c r="BX46" s="67">
        <f ca="1" t="shared" si="17"/>
        <v>41.270420265971026</v>
      </c>
      <c r="BY46" s="65">
        <f ca="1" t="shared" si="73"/>
        <v>0.17556201154265594</v>
      </c>
      <c r="BZ46" s="68">
        <f ca="1" t="shared" si="18"/>
        <v>-0.0143121148519465</v>
      </c>
      <c r="CA46" s="81">
        <f t="shared" si="74"/>
        <v>8.742</v>
      </c>
      <c r="CB46" s="63">
        <f t="shared" si="75"/>
        <v>8.742</v>
      </c>
      <c r="CC46" s="67">
        <f t="shared" si="76"/>
        <v>35.90132553133049</v>
      </c>
      <c r="CD46" s="69">
        <f ca="1" t="shared" si="19"/>
        <v>1.27</v>
      </c>
      <c r="CE46" s="190">
        <f ca="1" t="shared" si="77"/>
        <v>11.102340000000002</v>
      </c>
      <c r="CF46" s="70">
        <f ca="1" t="shared" si="78"/>
        <v>11.102340000000002</v>
      </c>
      <c r="CG46" s="67">
        <f ca="1" t="shared" si="79"/>
        <v>39.30481757441425</v>
      </c>
      <c r="CH46" s="65">
        <f ca="1" t="shared" si="80"/>
        <v>0.09480129194989151</v>
      </c>
      <c r="CI46" s="65">
        <f ca="1" t="shared" si="20"/>
        <v>-0.06125786310446513</v>
      </c>
      <c r="CJ46" s="68">
        <f ca="1" t="shared" si="81"/>
        <v>-0.0476273970288954</v>
      </c>
      <c r="CL46" s="97">
        <f ca="1" t="shared" si="21"/>
        <v>4072096.8808111623</v>
      </c>
      <c r="CM46" s="97">
        <f ca="1" t="shared" si="22"/>
        <v>4001666.1432105126</v>
      </c>
      <c r="CN46" s="97">
        <f ca="1" t="shared" si="23"/>
        <v>4013816.5625647395</v>
      </c>
      <c r="CO46" s="97">
        <f ca="1" t="shared" si="82"/>
        <v>3822648.927538312</v>
      </c>
      <c r="CQ46" s="97">
        <f t="shared" si="24"/>
        <v>2696665.2996336157</v>
      </c>
      <c r="CR46" s="97">
        <f t="shared" si="25"/>
        <v>2724436.752692792</v>
      </c>
      <c r="CS46" s="97">
        <f t="shared" si="26"/>
        <v>2688488.953625702</v>
      </c>
      <c r="CT46" s="97">
        <f t="shared" si="83"/>
        <v>2749320.637083247</v>
      </c>
      <c r="CV46" s="97">
        <f ca="1" t="shared" si="27"/>
        <v>4072096.880811162</v>
      </c>
      <c r="CW46" s="97">
        <f ca="1" t="shared" si="84"/>
        <v>4001666.143210513</v>
      </c>
      <c r="CX46" s="97">
        <f ca="1" t="shared" si="85"/>
        <v>4001666.143210513</v>
      </c>
      <c r="CY46" s="97">
        <f ca="1" t="shared" si="86"/>
        <v>3822648.927538312</v>
      </c>
    </row>
    <row r="47" spans="2:103" ht="12.75">
      <c r="B47" s="14">
        <v>10086</v>
      </c>
      <c r="C47" s="15" t="s">
        <v>46</v>
      </c>
      <c r="D47" s="16">
        <f>RHWM!D34</f>
        <v>1</v>
      </c>
      <c r="E47" s="16">
        <f>RHWM!E34</f>
        <v>0</v>
      </c>
      <c r="F47" s="18">
        <f>RHWM!M34</f>
        <v>3.869</v>
      </c>
      <c r="G47" s="18">
        <f>RHWM!N34</f>
        <v>3.874</v>
      </c>
      <c r="H47" s="18">
        <f>RHWM!O34</f>
        <v>3.945</v>
      </c>
      <c r="I47" s="18">
        <v>0</v>
      </c>
      <c r="J47" s="18">
        <v>0</v>
      </c>
      <c r="K47" s="18">
        <v>0</v>
      </c>
      <c r="L47" s="18">
        <v>0</v>
      </c>
      <c r="M47" s="18">
        <v>0</v>
      </c>
      <c r="N47" s="18">
        <v>0</v>
      </c>
      <c r="O47" s="81">
        <f t="shared" si="28"/>
        <v>3.945</v>
      </c>
      <c r="P47" s="63">
        <f t="shared" si="29"/>
        <v>3.874</v>
      </c>
      <c r="Q47" s="63">
        <f t="shared" si="30"/>
        <v>3.874</v>
      </c>
      <c r="R47" s="63">
        <f t="shared" si="31"/>
        <v>0</v>
      </c>
      <c r="S47" s="63">
        <f t="shared" si="32"/>
        <v>0.07099999999999973</v>
      </c>
      <c r="T47" s="67">
        <f t="shared" si="6"/>
        <v>33.949064274110405</v>
      </c>
      <c r="U47" s="138">
        <f ca="1" t="shared" si="7"/>
        <v>1.34</v>
      </c>
      <c r="V47" s="66">
        <f ca="1" t="shared" si="8"/>
        <v>5.191160000000001</v>
      </c>
      <c r="W47" s="66">
        <f ca="1" t="shared" si="33"/>
        <v>3.945</v>
      </c>
      <c r="X47" s="66">
        <f ca="1" t="shared" si="34"/>
        <v>1.246160000000001</v>
      </c>
      <c r="Y47" s="63">
        <f ca="1" t="shared" si="35"/>
        <v>0</v>
      </c>
      <c r="Z47" s="67">
        <f ca="1" t="shared" si="9"/>
        <v>41.681182539721945</v>
      </c>
      <c r="AA47" s="68">
        <f ca="1" t="shared" si="10"/>
        <v>0.22775644722284905</v>
      </c>
      <c r="AB47" s="169">
        <f t="shared" si="36"/>
        <v>3.874</v>
      </c>
      <c r="AC47" s="169">
        <f t="shared" si="37"/>
        <v>5</v>
      </c>
      <c r="AD47" s="169">
        <v>0</v>
      </c>
      <c r="AE47" s="171">
        <f t="shared" si="38"/>
        <v>0</v>
      </c>
      <c r="AF47" s="182">
        <v>0</v>
      </c>
      <c r="AG47" s="182">
        <f t="shared" si="39"/>
        <v>0</v>
      </c>
      <c r="AH47" s="182">
        <f t="shared" si="40"/>
        <v>0</v>
      </c>
      <c r="AI47" s="182">
        <v>0</v>
      </c>
      <c r="AJ47" s="171">
        <f t="shared" si="41"/>
        <v>0</v>
      </c>
      <c r="AK47" s="171">
        <f t="shared" si="42"/>
        <v>5</v>
      </c>
      <c r="AL47" s="171">
        <f t="shared" si="43"/>
        <v>0.31909008666287203</v>
      </c>
      <c r="AM47" s="171">
        <f t="shared" si="44"/>
        <v>5.319090086662872</v>
      </c>
      <c r="AN47" s="81">
        <f t="shared" si="45"/>
        <v>5.319090086662872</v>
      </c>
      <c r="AO47" s="63">
        <f t="shared" si="46"/>
        <v>3.874</v>
      </c>
      <c r="AP47" s="63">
        <f t="shared" si="47"/>
        <v>3.874</v>
      </c>
      <c r="AQ47" s="63">
        <f t="shared" si="48"/>
        <v>0</v>
      </c>
      <c r="AR47" s="63">
        <f t="shared" si="49"/>
        <v>1.4450900866628715</v>
      </c>
      <c r="AS47" s="67">
        <f t="shared" si="11"/>
        <v>35.5763854636149</v>
      </c>
      <c r="AT47" s="65">
        <f ca="1" t="shared" si="12"/>
        <v>1.34</v>
      </c>
      <c r="AU47" s="66">
        <f ca="1" t="shared" si="50"/>
        <v>5.191160000000001</v>
      </c>
      <c r="AV47" s="66">
        <f ca="1" t="shared" si="51"/>
        <v>5.191160000000001</v>
      </c>
      <c r="AW47" s="66">
        <f ca="1" t="shared" si="52"/>
        <v>0</v>
      </c>
      <c r="AX47" s="63">
        <f ca="1" t="shared" si="53"/>
        <v>0.12793008666287076</v>
      </c>
      <c r="AY47" s="67">
        <f ca="1" t="shared" si="13"/>
        <v>36.38031310262951</v>
      </c>
      <c r="AZ47" s="65">
        <f ca="1" t="shared" si="54"/>
        <v>0.0225972264618286</v>
      </c>
      <c r="BA47" s="68">
        <f ca="1" t="shared" si="14"/>
        <v>-0.12717656059879623</v>
      </c>
      <c r="BB47" s="169">
        <f t="shared" si="55"/>
        <v>3.874</v>
      </c>
      <c r="BC47" s="169">
        <f t="shared" si="56"/>
        <v>5</v>
      </c>
      <c r="BD47" s="169">
        <v>0</v>
      </c>
      <c r="BE47" s="171">
        <f t="shared" si="57"/>
        <v>0</v>
      </c>
      <c r="BF47" s="182">
        <v>0</v>
      </c>
      <c r="BG47" s="182">
        <f t="shared" si="58"/>
        <v>0</v>
      </c>
      <c r="BH47" s="182">
        <f t="shared" si="59"/>
        <v>0</v>
      </c>
      <c r="BI47" s="169">
        <f t="shared" si="60"/>
        <v>0</v>
      </c>
      <c r="BJ47" s="171">
        <f t="shared" si="61"/>
        <v>5</v>
      </c>
      <c r="BK47" s="171">
        <f t="shared" si="62"/>
        <v>0.09593190376411076</v>
      </c>
      <c r="BL47" s="171">
        <f t="shared" si="63"/>
        <v>5.095931903764111</v>
      </c>
      <c r="BM47" s="81">
        <f t="shared" si="64"/>
        <v>5.095931903764111</v>
      </c>
      <c r="BN47" s="63">
        <f t="shared" si="15"/>
        <v>3.874</v>
      </c>
      <c r="BO47" s="63">
        <f t="shared" si="65"/>
        <v>3.874</v>
      </c>
      <c r="BP47" s="63">
        <f t="shared" si="66"/>
        <v>0</v>
      </c>
      <c r="BQ47" s="63">
        <f t="shared" si="67"/>
        <v>1.2219319037641108</v>
      </c>
      <c r="BR47" s="67">
        <f t="shared" si="68"/>
        <v>34.790963136607154</v>
      </c>
      <c r="BS47" s="69">
        <f ca="1" t="shared" si="16"/>
        <v>1.34</v>
      </c>
      <c r="BT47" s="66">
        <f ca="1" t="shared" si="69"/>
        <v>5.191160000000001</v>
      </c>
      <c r="BU47" s="66">
        <f ca="1" t="shared" si="70"/>
        <v>5.095931903764111</v>
      </c>
      <c r="BV47" s="66">
        <f ca="1" t="shared" si="71"/>
        <v>0.09522809623589001</v>
      </c>
      <c r="BW47" s="63">
        <f ca="1" t="shared" si="72"/>
        <v>0</v>
      </c>
      <c r="BX47" s="67">
        <f ca="1" t="shared" si="17"/>
        <v>35.57278280677642</v>
      </c>
      <c r="BY47" s="65">
        <f ca="1" t="shared" si="73"/>
        <v>0.022471917983398093</v>
      </c>
      <c r="BZ47" s="68">
        <f ca="1" t="shared" si="18"/>
        <v>-0.14655053817449293</v>
      </c>
      <c r="CA47" s="81">
        <f t="shared" si="74"/>
        <v>3.874</v>
      </c>
      <c r="CB47" s="63">
        <f t="shared" si="75"/>
        <v>3.874</v>
      </c>
      <c r="CC47" s="67">
        <f t="shared" si="76"/>
        <v>35.90132553133049</v>
      </c>
      <c r="CD47" s="69">
        <f ca="1" t="shared" si="19"/>
        <v>1.34</v>
      </c>
      <c r="CE47" s="190">
        <f ca="1" t="shared" si="77"/>
        <v>5.191160000000001</v>
      </c>
      <c r="CF47" s="70">
        <f ca="1" t="shared" si="78"/>
        <v>5.191160000000001</v>
      </c>
      <c r="CG47" s="67">
        <f ca="1" t="shared" si="79"/>
        <v>39.30481757441425</v>
      </c>
      <c r="CH47" s="65">
        <f ca="1" t="shared" si="80"/>
        <v>0.09480129194989151</v>
      </c>
      <c r="CI47" s="65">
        <f ca="1" t="shared" si="20"/>
        <v>-0.05701289695998979</v>
      </c>
      <c r="CJ47" s="68">
        <f ca="1" t="shared" si="81"/>
        <v>0.10491264593803162</v>
      </c>
      <c r="CL47" s="97">
        <f ca="1" t="shared" si="21"/>
        <v>1895433.5029634305</v>
      </c>
      <c r="CM47" s="97">
        <f ca="1" t="shared" si="22"/>
        <v>1654378.789212813</v>
      </c>
      <c r="CN47" s="97">
        <f ca="1" t="shared" si="23"/>
        <v>1617656.7030301755</v>
      </c>
      <c r="CO47" s="97">
        <f ca="1" t="shared" si="82"/>
        <v>1787369.3479644638</v>
      </c>
      <c r="CQ47" s="97">
        <f t="shared" si="24"/>
        <v>1152103.5929816365</v>
      </c>
      <c r="CR47" s="97">
        <f t="shared" si="25"/>
        <v>1207328.7554257463</v>
      </c>
      <c r="CS47" s="97">
        <f t="shared" si="26"/>
        <v>1180674.474835053</v>
      </c>
      <c r="CT47" s="97">
        <f t="shared" si="83"/>
        <v>1218355.999549359</v>
      </c>
      <c r="CV47" s="97">
        <f ca="1" t="shared" si="27"/>
        <v>1895433.5029634305</v>
      </c>
      <c r="CW47" s="97">
        <f ca="1" t="shared" si="84"/>
        <v>1654378.789212813</v>
      </c>
      <c r="CX47" s="97">
        <f ca="1" t="shared" si="85"/>
        <v>1654378.789212813</v>
      </c>
      <c r="CY47" s="97">
        <f ca="1" t="shared" si="86"/>
        <v>1787369.3479644638</v>
      </c>
    </row>
    <row r="48" spans="2:103" ht="12.75">
      <c r="B48" s="14">
        <v>10087</v>
      </c>
      <c r="C48" s="15" t="s">
        <v>47</v>
      </c>
      <c r="D48" s="16">
        <f>RHWM!D35</f>
        <v>1</v>
      </c>
      <c r="E48" s="16">
        <f>RHWM!E35</f>
        <v>0</v>
      </c>
      <c r="F48" s="18">
        <f>RHWM!M35</f>
        <v>46.791</v>
      </c>
      <c r="G48" s="18">
        <f>RHWM!N35</f>
        <v>46.761</v>
      </c>
      <c r="H48" s="18">
        <f>RHWM!O35</f>
        <v>85.48</v>
      </c>
      <c r="I48" s="18">
        <v>0</v>
      </c>
      <c r="J48" s="18">
        <v>0</v>
      </c>
      <c r="K48" s="18">
        <v>0</v>
      </c>
      <c r="L48" s="18">
        <v>0</v>
      </c>
      <c r="M48" s="18">
        <v>0</v>
      </c>
      <c r="N48" s="18">
        <v>0</v>
      </c>
      <c r="O48" s="81">
        <f t="shared" si="28"/>
        <v>85.48</v>
      </c>
      <c r="P48" s="63">
        <f t="shared" si="29"/>
        <v>46.761</v>
      </c>
      <c r="Q48" s="63">
        <f t="shared" si="30"/>
        <v>46.761</v>
      </c>
      <c r="R48" s="63">
        <f t="shared" si="31"/>
        <v>0</v>
      </c>
      <c r="S48" s="63">
        <f t="shared" si="32"/>
        <v>38.719</v>
      </c>
      <c r="T48" s="67">
        <f t="shared" si="6"/>
        <v>33.949064274110405</v>
      </c>
      <c r="U48" s="138">
        <f ca="1" t="shared" si="7"/>
        <v>1.31</v>
      </c>
      <c r="V48" s="66">
        <f ca="1" t="shared" si="8"/>
        <v>61.256910000000005</v>
      </c>
      <c r="W48" s="66">
        <f ca="1" t="shared" si="33"/>
        <v>61.256910000000005</v>
      </c>
      <c r="X48" s="66">
        <f ca="1" t="shared" si="34"/>
        <v>0</v>
      </c>
      <c r="Y48" s="63">
        <f ca="1" t="shared" si="35"/>
        <v>24.22309</v>
      </c>
      <c r="Z48" s="67">
        <f ca="1" t="shared" si="9"/>
        <v>34.90901605903751</v>
      </c>
      <c r="AA48" s="68">
        <f ca="1" t="shared" si="10"/>
        <v>0.028276236928838294</v>
      </c>
      <c r="AB48" s="169">
        <f t="shared" si="36"/>
        <v>46.761</v>
      </c>
      <c r="AC48" s="169">
        <f t="shared" si="37"/>
        <v>46.761</v>
      </c>
      <c r="AD48" s="169">
        <v>0</v>
      </c>
      <c r="AE48" s="171">
        <f t="shared" si="38"/>
        <v>0</v>
      </c>
      <c r="AF48" s="182">
        <v>0</v>
      </c>
      <c r="AG48" s="182">
        <f t="shared" si="39"/>
        <v>0</v>
      </c>
      <c r="AH48" s="182">
        <f t="shared" si="40"/>
        <v>0</v>
      </c>
      <c r="AI48" s="182">
        <v>0</v>
      </c>
      <c r="AJ48" s="171">
        <f t="shared" si="41"/>
        <v>0</v>
      </c>
      <c r="AK48" s="171">
        <f t="shared" si="42"/>
        <v>46.761</v>
      </c>
      <c r="AL48" s="171">
        <f t="shared" si="43"/>
        <v>2.9841943084885116</v>
      </c>
      <c r="AM48" s="171">
        <f t="shared" si="44"/>
        <v>49.745194308488514</v>
      </c>
      <c r="AN48" s="81">
        <f t="shared" si="45"/>
        <v>49.745194308488514</v>
      </c>
      <c r="AO48" s="63">
        <f t="shared" si="46"/>
        <v>46.761</v>
      </c>
      <c r="AP48" s="63">
        <f t="shared" si="47"/>
        <v>46.761</v>
      </c>
      <c r="AQ48" s="63">
        <f t="shared" si="48"/>
        <v>0</v>
      </c>
      <c r="AR48" s="63">
        <f t="shared" si="49"/>
        <v>2.9841943084885116</v>
      </c>
      <c r="AS48" s="67">
        <f t="shared" si="11"/>
        <v>35.5763854636149</v>
      </c>
      <c r="AT48" s="65">
        <f ca="1" t="shared" si="12"/>
        <v>1.31</v>
      </c>
      <c r="AU48" s="66">
        <f ca="1" t="shared" si="50"/>
        <v>61.256910000000005</v>
      </c>
      <c r="AV48" s="66">
        <f ca="1" t="shared" si="51"/>
        <v>49.745194308488514</v>
      </c>
      <c r="AW48" s="66">
        <f ca="1" t="shared" si="52"/>
        <v>11.51171569151149</v>
      </c>
      <c r="AX48" s="63">
        <f ca="1" t="shared" si="53"/>
        <v>0</v>
      </c>
      <c r="AY48" s="67">
        <f ca="1" t="shared" si="13"/>
        <v>41.405373512019466</v>
      </c>
      <c r="AZ48" s="65">
        <f ca="1" t="shared" si="54"/>
        <v>0.16384430212467938</v>
      </c>
      <c r="BA48" s="68">
        <f ca="1" t="shared" si="14"/>
        <v>0.18609397188380883</v>
      </c>
      <c r="BB48" s="169">
        <f t="shared" si="55"/>
        <v>46.761</v>
      </c>
      <c r="BC48" s="169">
        <f t="shared" si="56"/>
        <v>46.761</v>
      </c>
      <c r="BD48" s="169">
        <v>0</v>
      </c>
      <c r="BE48" s="171">
        <f t="shared" si="57"/>
        <v>0</v>
      </c>
      <c r="BF48" s="182">
        <v>0</v>
      </c>
      <c r="BG48" s="182">
        <f t="shared" si="58"/>
        <v>0</v>
      </c>
      <c r="BH48" s="182">
        <f t="shared" si="59"/>
        <v>0</v>
      </c>
      <c r="BI48" s="169">
        <f t="shared" si="60"/>
        <v>0</v>
      </c>
      <c r="BJ48" s="171">
        <f t="shared" si="61"/>
        <v>46.761</v>
      </c>
      <c r="BK48" s="171">
        <f t="shared" si="62"/>
        <v>0.8971743503827166</v>
      </c>
      <c r="BL48" s="171">
        <f t="shared" si="63"/>
        <v>47.65817435038272</v>
      </c>
      <c r="BM48" s="81">
        <f t="shared" si="64"/>
        <v>47.65817435038272</v>
      </c>
      <c r="BN48" s="63">
        <f t="shared" si="15"/>
        <v>46.761</v>
      </c>
      <c r="BO48" s="63">
        <f t="shared" si="65"/>
        <v>46.761</v>
      </c>
      <c r="BP48" s="63">
        <f t="shared" si="66"/>
        <v>0</v>
      </c>
      <c r="BQ48" s="63">
        <f t="shared" si="67"/>
        <v>0.8971743503827199</v>
      </c>
      <c r="BR48" s="67">
        <f t="shared" si="68"/>
        <v>34.790963136607154</v>
      </c>
      <c r="BS48" s="69">
        <f ca="1" t="shared" si="16"/>
        <v>1.31</v>
      </c>
      <c r="BT48" s="66">
        <f ca="1" t="shared" si="69"/>
        <v>61.256910000000005</v>
      </c>
      <c r="BU48" s="66">
        <f ca="1" t="shared" si="70"/>
        <v>47.65817435038272</v>
      </c>
      <c r="BV48" s="66">
        <f ca="1" t="shared" si="71"/>
        <v>13.598735649617282</v>
      </c>
      <c r="BW48" s="63">
        <f ca="1" t="shared" si="72"/>
        <v>0</v>
      </c>
      <c r="BX48" s="67">
        <f ca="1" t="shared" si="17"/>
        <v>41.287631754996255</v>
      </c>
      <c r="BY48" s="65">
        <f ca="1" t="shared" si="73"/>
        <v>0.1867343710169751</v>
      </c>
      <c r="BZ48" s="68">
        <f ca="1" t="shared" si="18"/>
        <v>0.18272115390394683</v>
      </c>
      <c r="CA48" s="81">
        <f t="shared" si="74"/>
        <v>46.761</v>
      </c>
      <c r="CB48" s="63">
        <f t="shared" si="75"/>
        <v>46.761</v>
      </c>
      <c r="CC48" s="67">
        <f t="shared" si="76"/>
        <v>35.90132553133049</v>
      </c>
      <c r="CD48" s="69">
        <f ca="1" t="shared" si="19"/>
        <v>1.31</v>
      </c>
      <c r="CE48" s="190">
        <f ca="1" t="shared" si="77"/>
        <v>61.256910000000005</v>
      </c>
      <c r="CF48" s="70">
        <f ca="1" t="shared" si="78"/>
        <v>61.256910000000005</v>
      </c>
      <c r="CG48" s="67">
        <f ca="1" t="shared" si="79"/>
        <v>39.30481757441425</v>
      </c>
      <c r="CH48" s="65">
        <f ca="1" t="shared" si="80"/>
        <v>0.09480129194989151</v>
      </c>
      <c r="CI48" s="65">
        <f ca="1" t="shared" si="20"/>
        <v>0.1259216675698518</v>
      </c>
      <c r="CJ48" s="68">
        <f ca="1" t="shared" si="81"/>
        <v>-0.048024410611588575</v>
      </c>
      <c r="CL48" s="97">
        <f ca="1" t="shared" si="21"/>
        <v>18732545.66507306</v>
      </c>
      <c r="CM48" s="97">
        <f ca="1" t="shared" si="22"/>
        <v>22218559.49138133</v>
      </c>
      <c r="CN48" s="97">
        <f ca="1" t="shared" si="23"/>
        <v>22155378.024553582</v>
      </c>
      <c r="CO48" s="97">
        <f ca="1" t="shared" si="82"/>
        <v>21091379.053047456</v>
      </c>
      <c r="CQ48" s="97">
        <f t="shared" si="24"/>
        <v>13906431.624009889</v>
      </c>
      <c r="CR48" s="97">
        <f t="shared" si="25"/>
        <v>14573025.279417485</v>
      </c>
      <c r="CS48" s="97">
        <f t="shared" si="26"/>
        <v>14251295.590542573</v>
      </c>
      <c r="CT48" s="97">
        <f t="shared" si="83"/>
        <v>14706129.296573978</v>
      </c>
      <c r="CV48" s="97">
        <f ca="1" t="shared" si="27"/>
        <v>18732545.665073056</v>
      </c>
      <c r="CW48" s="97">
        <f ca="1" t="shared" si="84"/>
        <v>22218559.491381325</v>
      </c>
      <c r="CX48" s="97">
        <f ca="1" t="shared" si="85"/>
        <v>22218559.491381325</v>
      </c>
      <c r="CY48" s="97">
        <f ca="1" t="shared" si="86"/>
        <v>21091379.053047456</v>
      </c>
    </row>
    <row r="49" spans="2:103" ht="12.75">
      <c r="B49" s="14">
        <v>10089</v>
      </c>
      <c r="C49" s="15" t="s">
        <v>48</v>
      </c>
      <c r="D49" s="16">
        <f>RHWM!D36</f>
        <v>1</v>
      </c>
      <c r="E49" s="16">
        <f>RHWM!E36</f>
        <v>0</v>
      </c>
      <c r="F49" s="18">
        <f>RHWM!M36</f>
        <v>111.452</v>
      </c>
      <c r="G49" s="18">
        <f>RHWM!N36</f>
        <v>112.295</v>
      </c>
      <c r="H49" s="18">
        <f>RHWM!O36</f>
        <v>104.213</v>
      </c>
      <c r="I49" s="18">
        <v>7.239</v>
      </c>
      <c r="J49" s="18">
        <v>8.082</v>
      </c>
      <c r="K49" s="18">
        <v>0</v>
      </c>
      <c r="L49" s="18">
        <v>0</v>
      </c>
      <c r="M49" s="18">
        <v>7.239</v>
      </c>
      <c r="N49" s="18">
        <v>8.082</v>
      </c>
      <c r="O49" s="81">
        <f t="shared" si="28"/>
        <v>104.213</v>
      </c>
      <c r="P49" s="63">
        <f t="shared" si="29"/>
        <v>112.295</v>
      </c>
      <c r="Q49" s="63">
        <f t="shared" si="30"/>
        <v>104.213</v>
      </c>
      <c r="R49" s="63">
        <f t="shared" si="31"/>
        <v>8.082000000000008</v>
      </c>
      <c r="S49" s="63">
        <f t="shared" si="32"/>
        <v>0</v>
      </c>
      <c r="T49" s="67">
        <f aca="true" t="shared" si="87" ref="T49:T80">(Q49*$T$14+R49*$T$5)/(Q49+R49)</f>
        <v>36.04852998974013</v>
      </c>
      <c r="U49" s="138">
        <f aca="true" t="shared" si="88" ref="U49:U80">RANDBETWEEN($Z$2,$Z$3)/100</f>
        <v>1.06</v>
      </c>
      <c r="V49" s="66">
        <f aca="true" t="shared" si="89" ref="V49:V80">G49*U49</f>
        <v>119.0327</v>
      </c>
      <c r="W49" s="66">
        <f ca="1" t="shared" si="33"/>
        <v>104.213</v>
      </c>
      <c r="X49" s="66">
        <f ca="1" t="shared" si="34"/>
        <v>14.819700000000012</v>
      </c>
      <c r="Y49" s="63">
        <f ca="1" t="shared" si="35"/>
        <v>0</v>
      </c>
      <c r="Z49" s="67">
        <f aca="true" t="shared" si="90" ref="Z49:Z112">(W49*$Z$14+X49*$T$5)/(W49+X49)</f>
        <v>38.421314097390685</v>
      </c>
      <c r="AA49" s="68">
        <f aca="true" t="shared" si="91" ref="AA49:AA80">Z49/T49-1</f>
        <v>0.06582193804645775</v>
      </c>
      <c r="AB49" s="169">
        <f t="shared" si="36"/>
        <v>104.213</v>
      </c>
      <c r="AC49" s="169">
        <f t="shared" si="37"/>
        <v>104.213</v>
      </c>
      <c r="AD49" s="169">
        <v>1.8415000000000001</v>
      </c>
      <c r="AE49" s="171">
        <f t="shared" si="38"/>
        <v>0.9207500000000001</v>
      </c>
      <c r="AF49" s="182">
        <v>0</v>
      </c>
      <c r="AG49" s="182">
        <f t="shared" si="39"/>
        <v>0</v>
      </c>
      <c r="AH49" s="182">
        <f t="shared" si="40"/>
        <v>0</v>
      </c>
      <c r="AI49" s="182">
        <v>0</v>
      </c>
      <c r="AJ49" s="171">
        <f t="shared" si="41"/>
        <v>4.041000000000004</v>
      </c>
      <c r="AK49" s="171">
        <f t="shared" si="42"/>
        <v>109.17474999999999</v>
      </c>
      <c r="AL49" s="171">
        <f t="shared" si="43"/>
        <v>6.967316087779476</v>
      </c>
      <c r="AM49" s="171">
        <f t="shared" si="44"/>
        <v>116.14206608777947</v>
      </c>
      <c r="AN49" s="81">
        <f t="shared" si="45"/>
        <v>116.14206608777947</v>
      </c>
      <c r="AO49" s="63">
        <f t="shared" si="46"/>
        <v>112.295</v>
      </c>
      <c r="AP49" s="63">
        <f t="shared" si="47"/>
        <v>112.295</v>
      </c>
      <c r="AQ49" s="63">
        <f t="shared" si="48"/>
        <v>0</v>
      </c>
      <c r="AR49" s="63">
        <f t="shared" si="49"/>
        <v>3.847066087779467</v>
      </c>
      <c r="AS49" s="67">
        <f aca="true" t="shared" si="92" ref="AS49:AS80">(AP49*$AS$14+AQ49*$T$5)/(AP49+AQ49)</f>
        <v>35.5763854636149</v>
      </c>
      <c r="AT49" s="65">
        <f aca="true" t="shared" si="93" ref="AT49:AT80">U49</f>
        <v>1.06</v>
      </c>
      <c r="AU49" s="66">
        <f ca="1" t="shared" si="50"/>
        <v>119.0327</v>
      </c>
      <c r="AV49" s="66">
        <f ca="1" t="shared" si="51"/>
        <v>116.14206608777947</v>
      </c>
      <c r="AW49" s="66">
        <f ca="1" t="shared" si="52"/>
        <v>2.8906339122205367</v>
      </c>
      <c r="AX49" s="63">
        <f ca="1" t="shared" si="53"/>
        <v>0</v>
      </c>
      <c r="AY49" s="67">
        <f aca="true" t="shared" si="94" ref="AY49:AY80">(AV49*$AY$14+AW49*$T$5)/(AV49+AW49)</f>
        <v>37.02966950425443</v>
      </c>
      <c r="AZ49" s="65">
        <f ca="1" t="shared" si="54"/>
        <v>0.04084968221760055</v>
      </c>
      <c r="BA49" s="68">
        <f aca="true" t="shared" si="95" ref="BA49:BA80">AY49/Z49-1</f>
        <v>-0.03622064017926885</v>
      </c>
      <c r="BB49" s="169">
        <f t="shared" si="55"/>
        <v>104.213</v>
      </c>
      <c r="BC49" s="169">
        <f t="shared" si="56"/>
        <v>104.213</v>
      </c>
      <c r="BD49" s="169">
        <v>1.8415000000000001</v>
      </c>
      <c r="BE49" s="171">
        <f t="shared" si="57"/>
        <v>0.9207500000000001</v>
      </c>
      <c r="BF49" s="182">
        <v>0</v>
      </c>
      <c r="BG49" s="182">
        <f t="shared" si="58"/>
        <v>0</v>
      </c>
      <c r="BH49" s="182">
        <f t="shared" si="59"/>
        <v>0</v>
      </c>
      <c r="BI49" s="169">
        <f t="shared" si="60"/>
        <v>2.020500000000002</v>
      </c>
      <c r="BJ49" s="171">
        <f t="shared" si="61"/>
        <v>107.15424999999999</v>
      </c>
      <c r="BK49" s="171">
        <f t="shared" si="62"/>
        <v>2.0559022397830926</v>
      </c>
      <c r="BL49" s="171">
        <f t="shared" si="63"/>
        <v>109.21015223978308</v>
      </c>
      <c r="BM49" s="81">
        <f t="shared" si="64"/>
        <v>109.21015223978308</v>
      </c>
      <c r="BN49" s="63">
        <f aca="true" t="shared" si="96" ref="BN49:BN80">P49</f>
        <v>112.295</v>
      </c>
      <c r="BO49" s="63">
        <f t="shared" si="65"/>
        <v>109.21015223978308</v>
      </c>
      <c r="BP49" s="63">
        <f t="shared" si="66"/>
        <v>3.084847760216917</v>
      </c>
      <c r="BQ49" s="63">
        <f t="shared" si="67"/>
        <v>0</v>
      </c>
      <c r="BR49" s="67">
        <f t="shared" si="68"/>
        <v>35.5691880434787</v>
      </c>
      <c r="BS49" s="69">
        <f aca="true" t="shared" si="97" ref="BS49:BS80">U49</f>
        <v>1.06</v>
      </c>
      <c r="BT49" s="66">
        <f ca="1" t="shared" si="69"/>
        <v>119.0327</v>
      </c>
      <c r="BU49" s="66">
        <f ca="1" t="shared" si="70"/>
        <v>109.21015223978308</v>
      </c>
      <c r="BV49" s="66">
        <f ca="1" t="shared" si="71"/>
        <v>9.82254776021692</v>
      </c>
      <c r="BW49" s="63">
        <f ca="1" t="shared" si="72"/>
        <v>0</v>
      </c>
      <c r="BX49" s="67">
        <f aca="true" t="shared" si="98" ref="BX49:BX80">(BU49*$BX$14+BV49*$T$5)/(BU49+BV49)</f>
        <v>37.37367425108796</v>
      </c>
      <c r="BY49" s="65">
        <f ca="1" t="shared" si="73"/>
        <v>0.050731723350095015</v>
      </c>
      <c r="BZ49" s="68">
        <f aca="true" t="shared" si="99" ref="BZ49:BZ80">BX49/Z49-1</f>
        <v>-0.02726715290495152</v>
      </c>
      <c r="CA49" s="81">
        <f t="shared" si="74"/>
        <v>112.295</v>
      </c>
      <c r="CB49" s="63">
        <f t="shared" si="75"/>
        <v>112.295</v>
      </c>
      <c r="CC49" s="67">
        <f t="shared" si="76"/>
        <v>35.90132553133049</v>
      </c>
      <c r="CD49" s="69">
        <f aca="true" t="shared" si="100" ref="CD49:CD80">U49</f>
        <v>1.06</v>
      </c>
      <c r="CE49" s="190">
        <f ca="1" t="shared" si="77"/>
        <v>119.0327</v>
      </c>
      <c r="CF49" s="70">
        <f ca="1" t="shared" si="78"/>
        <v>119.0327</v>
      </c>
      <c r="CG49" s="67">
        <f ca="1" t="shared" si="79"/>
        <v>39.30481757441425</v>
      </c>
      <c r="CH49" s="65">
        <f ca="1" t="shared" si="80"/>
        <v>0.09480129194989151</v>
      </c>
      <c r="CI49" s="65">
        <f aca="true" t="shared" si="101" ref="CI49:CI80">CG49/Z49-1</f>
        <v>0.022995139489088157</v>
      </c>
      <c r="CJ49" s="68">
        <f ca="1" t="shared" si="81"/>
        <v>0.05167121943516362</v>
      </c>
      <c r="CL49" s="97">
        <f aca="true" t="shared" si="102" ref="CL49:CL80">W49*$Z$14*8760+X49*$T$5*8760</f>
        <v>40062920.52994978</v>
      </c>
      <c r="CM49" s="97">
        <f aca="true" t="shared" si="103" ref="CM49:CM80">AV49*$AY$14*8760+AW49*$T$5*8760</f>
        <v>38611815.90090381</v>
      </c>
      <c r="CN49" s="97">
        <f aca="true" t="shared" si="104" ref="CN49:CN80">BU49*$BX$14*8760+BV49*$T$5*8760</f>
        <v>38970518.75004071</v>
      </c>
      <c r="CO49" s="97">
        <f ca="1" t="shared" si="82"/>
        <v>40984172.97587622</v>
      </c>
      <c r="CQ49" s="97">
        <f aca="true" t="shared" si="105" ref="CQ49:CQ80">Q49*8760*$T$14+R49*8760*$T$5</f>
        <v>35461090.35473332</v>
      </c>
      <c r="CR49" s="97">
        <f aca="true" t="shared" si="106" ref="CR49:CR80">AP49*8760*$AS$14+AQ49*8760*$T$5</f>
        <v>34996639.801376924</v>
      </c>
      <c r="CS49" s="97">
        <f aca="true" t="shared" si="107" ref="CS49:CS80">BO49*8760*$BR$14+BP49*8760*$T$5</f>
        <v>34989559.668959774</v>
      </c>
      <c r="CT49" s="97">
        <f t="shared" si="83"/>
        <v>35316284.71073704</v>
      </c>
      <c r="CV49" s="97">
        <f aca="true" t="shared" si="108" ref="CV49:CV80">Z49*8760*V49</f>
        <v>40062920.52994978</v>
      </c>
      <c r="CW49" s="97">
        <f ca="1" t="shared" si="84"/>
        <v>38611815.90090382</v>
      </c>
      <c r="CX49" s="97">
        <f ca="1" t="shared" si="85"/>
        <v>38611815.90090382</v>
      </c>
      <c r="CY49" s="97">
        <f ca="1" t="shared" si="86"/>
        <v>40984172.97587622</v>
      </c>
    </row>
    <row r="50" spans="2:103" ht="12.75">
      <c r="B50" s="14">
        <v>10091</v>
      </c>
      <c r="C50" s="15" t="s">
        <v>49</v>
      </c>
      <c r="D50" s="16">
        <f>RHWM!D37</f>
        <v>1</v>
      </c>
      <c r="E50" s="16">
        <f>RHWM!E37</f>
        <v>0</v>
      </c>
      <c r="F50" s="18">
        <f>RHWM!M37</f>
        <v>9.035</v>
      </c>
      <c r="G50" s="18">
        <f>RHWM!N37</f>
        <v>9.029</v>
      </c>
      <c r="H50" s="18">
        <f>RHWM!O37</f>
        <v>9.422</v>
      </c>
      <c r="I50" s="18">
        <v>0</v>
      </c>
      <c r="J50" s="18">
        <v>0</v>
      </c>
      <c r="K50" s="18">
        <v>0</v>
      </c>
      <c r="L50" s="18">
        <v>0</v>
      </c>
      <c r="M50" s="18">
        <v>0</v>
      </c>
      <c r="N50" s="18">
        <v>0</v>
      </c>
      <c r="O50" s="81">
        <f t="shared" si="28"/>
        <v>9.422</v>
      </c>
      <c r="P50" s="63">
        <f t="shared" si="29"/>
        <v>9.029</v>
      </c>
      <c r="Q50" s="63">
        <f t="shared" si="30"/>
        <v>9.029</v>
      </c>
      <c r="R50" s="63">
        <f t="shared" si="31"/>
        <v>0</v>
      </c>
      <c r="S50" s="63">
        <f t="shared" si="32"/>
        <v>0.3930000000000007</v>
      </c>
      <c r="T50" s="67">
        <f t="shared" si="87"/>
        <v>33.949064274110405</v>
      </c>
      <c r="U50" s="138">
        <f ca="1" t="shared" si="88"/>
        <v>0.97</v>
      </c>
      <c r="V50" s="66">
        <f ca="1" t="shared" si="89"/>
        <v>8.75813</v>
      </c>
      <c r="W50" s="66">
        <f ca="1" t="shared" si="33"/>
        <v>8.75813</v>
      </c>
      <c r="X50" s="66">
        <f ca="1" t="shared" si="34"/>
        <v>0</v>
      </c>
      <c r="Y50" s="63">
        <f ca="1" t="shared" si="35"/>
        <v>0.6638700000000011</v>
      </c>
      <c r="Z50" s="67">
        <f ca="1" t="shared" si="90"/>
        <v>34.90901605903751</v>
      </c>
      <c r="AA50" s="68">
        <f ca="1" t="shared" si="91"/>
        <v>0.028276236928838294</v>
      </c>
      <c r="AB50" s="169">
        <f t="shared" si="36"/>
        <v>9.029</v>
      </c>
      <c r="AC50" s="169">
        <f t="shared" si="37"/>
        <v>9.029</v>
      </c>
      <c r="AD50" s="169">
        <v>0.013</v>
      </c>
      <c r="AE50" s="171">
        <f t="shared" si="38"/>
        <v>0.0065</v>
      </c>
      <c r="AF50" s="182">
        <v>0</v>
      </c>
      <c r="AG50" s="182">
        <f t="shared" si="39"/>
        <v>0</v>
      </c>
      <c r="AH50" s="182">
        <f t="shared" si="40"/>
        <v>0</v>
      </c>
      <c r="AI50" s="182">
        <v>0</v>
      </c>
      <c r="AJ50" s="171">
        <f t="shared" si="41"/>
        <v>0</v>
      </c>
      <c r="AK50" s="171">
        <f t="shared" si="42"/>
        <v>9.0355</v>
      </c>
      <c r="AL50" s="171">
        <f t="shared" si="43"/>
        <v>0.576627695608476</v>
      </c>
      <c r="AM50" s="171">
        <f t="shared" si="44"/>
        <v>9.612127695608477</v>
      </c>
      <c r="AN50" s="81">
        <f t="shared" si="45"/>
        <v>9.612127695608477</v>
      </c>
      <c r="AO50" s="63">
        <f t="shared" si="46"/>
        <v>9.029</v>
      </c>
      <c r="AP50" s="63">
        <f t="shared" si="47"/>
        <v>9.029</v>
      </c>
      <c r="AQ50" s="63">
        <f t="shared" si="48"/>
        <v>0</v>
      </c>
      <c r="AR50" s="63">
        <f t="shared" si="49"/>
        <v>0.5831276956084768</v>
      </c>
      <c r="AS50" s="67">
        <f t="shared" si="92"/>
        <v>35.5763854636149</v>
      </c>
      <c r="AT50" s="65">
        <f ca="1" t="shared" si="93"/>
        <v>0.97</v>
      </c>
      <c r="AU50" s="66">
        <f ca="1" t="shared" si="50"/>
        <v>8.75813</v>
      </c>
      <c r="AV50" s="66">
        <f ca="1" t="shared" si="51"/>
        <v>8.75813</v>
      </c>
      <c r="AW50" s="66">
        <f ca="1" t="shared" si="52"/>
        <v>0</v>
      </c>
      <c r="AX50" s="63">
        <f ca="1" t="shared" si="53"/>
        <v>0.8539976956084772</v>
      </c>
      <c r="AY50" s="67">
        <f ca="1" t="shared" si="94"/>
        <v>36.38031310262951</v>
      </c>
      <c r="AZ50" s="65">
        <f ca="1" t="shared" si="54"/>
        <v>0.0225972264618286</v>
      </c>
      <c r="BA50" s="68">
        <f ca="1" t="shared" si="95"/>
        <v>0.0421466202629075</v>
      </c>
      <c r="BB50" s="169">
        <f t="shared" si="55"/>
        <v>9.029</v>
      </c>
      <c r="BC50" s="169">
        <f t="shared" si="56"/>
        <v>9.029</v>
      </c>
      <c r="BD50" s="169">
        <v>0.013</v>
      </c>
      <c r="BE50" s="171">
        <f t="shared" si="57"/>
        <v>0.0065</v>
      </c>
      <c r="BF50" s="182">
        <v>0</v>
      </c>
      <c r="BG50" s="182">
        <f t="shared" si="58"/>
        <v>0</v>
      </c>
      <c r="BH50" s="182">
        <f t="shared" si="59"/>
        <v>0</v>
      </c>
      <c r="BI50" s="169">
        <f t="shared" si="60"/>
        <v>0</v>
      </c>
      <c r="BJ50" s="171">
        <f t="shared" si="61"/>
        <v>9.0355</v>
      </c>
      <c r="BK50" s="171">
        <f t="shared" si="62"/>
        <v>0.17335854329212455</v>
      </c>
      <c r="BL50" s="171">
        <f t="shared" si="63"/>
        <v>9.208858543292125</v>
      </c>
      <c r="BM50" s="81">
        <f t="shared" si="64"/>
        <v>9.208858543292125</v>
      </c>
      <c r="BN50" s="63">
        <f t="shared" si="96"/>
        <v>9.029</v>
      </c>
      <c r="BO50" s="63">
        <f t="shared" si="65"/>
        <v>9.029</v>
      </c>
      <c r="BP50" s="63">
        <f t="shared" si="66"/>
        <v>0</v>
      </c>
      <c r="BQ50" s="63">
        <f t="shared" si="67"/>
        <v>0.17985854329212536</v>
      </c>
      <c r="BR50" s="67">
        <f t="shared" si="68"/>
        <v>34.790963136607154</v>
      </c>
      <c r="BS50" s="69">
        <f ca="1" t="shared" si="97"/>
        <v>0.97</v>
      </c>
      <c r="BT50" s="66">
        <f ca="1" t="shared" si="69"/>
        <v>8.75813</v>
      </c>
      <c r="BU50" s="66">
        <f ca="1" t="shared" si="70"/>
        <v>8.75813</v>
      </c>
      <c r="BV50" s="66">
        <f ca="1" t="shared" si="71"/>
        <v>0</v>
      </c>
      <c r="BW50" s="63">
        <f ca="1" t="shared" si="72"/>
        <v>0.45072854329212575</v>
      </c>
      <c r="BX50" s="67">
        <f ca="1" t="shared" si="98"/>
        <v>35.05800570624853</v>
      </c>
      <c r="BY50" s="65">
        <f ca="1" t="shared" si="73"/>
        <v>0.007675630266193778</v>
      </c>
      <c r="BZ50" s="68">
        <f ca="1" t="shared" si="99"/>
        <v>0.0042679417534727815</v>
      </c>
      <c r="CA50" s="81">
        <f t="shared" si="74"/>
        <v>9.029</v>
      </c>
      <c r="CB50" s="63">
        <f t="shared" si="75"/>
        <v>9.029</v>
      </c>
      <c r="CC50" s="67">
        <f t="shared" si="76"/>
        <v>35.90132553133049</v>
      </c>
      <c r="CD50" s="69">
        <f ca="1" t="shared" si="100"/>
        <v>0.97</v>
      </c>
      <c r="CE50" s="190">
        <f ca="1" t="shared" si="77"/>
        <v>8.75813</v>
      </c>
      <c r="CF50" s="70">
        <f ca="1" t="shared" si="78"/>
        <v>8.75813</v>
      </c>
      <c r="CG50" s="67">
        <f ca="1" t="shared" si="79"/>
        <v>39.30481757441425</v>
      </c>
      <c r="CH50" s="65">
        <f ca="1" t="shared" si="80"/>
        <v>0.09480129194989151</v>
      </c>
      <c r="CI50" s="65">
        <f ca="1" t="shared" si="101"/>
        <v>0.1259216675698518</v>
      </c>
      <c r="CJ50" s="68">
        <f ca="1" t="shared" si="81"/>
        <v>0.12113672134546993</v>
      </c>
      <c r="CL50" s="97">
        <f ca="1" t="shared" si="102"/>
        <v>2678262.2591581307</v>
      </c>
      <c r="CM50" s="97">
        <f ca="1" t="shared" si="103"/>
        <v>2791141.961559345</v>
      </c>
      <c r="CN50" s="97">
        <f ca="1" t="shared" si="104"/>
        <v>2689692.9264807417</v>
      </c>
      <c r="CO50" s="97">
        <f ca="1" t="shared" si="82"/>
        <v>3015513.509020721</v>
      </c>
      <c r="CQ50" s="97">
        <f t="shared" si="105"/>
        <v>2685168.647659059</v>
      </c>
      <c r="CR50" s="97">
        <f t="shared" si="106"/>
        <v>2813880.054914575</v>
      </c>
      <c r="CS50" s="97">
        <f t="shared" si="107"/>
        <v>2751757.8299653316</v>
      </c>
      <c r="CT50" s="97">
        <f t="shared" si="83"/>
        <v>2839580.877628075</v>
      </c>
      <c r="CV50" s="97">
        <f ca="1" t="shared" si="108"/>
        <v>2678262.2591581303</v>
      </c>
      <c r="CW50" s="97">
        <f ca="1" t="shared" si="84"/>
        <v>2791141.961559345</v>
      </c>
      <c r="CX50" s="97">
        <f ca="1" t="shared" si="85"/>
        <v>2791141.961559345</v>
      </c>
      <c r="CY50" s="97">
        <f ca="1" t="shared" si="86"/>
        <v>3015513.5090207206</v>
      </c>
    </row>
    <row r="51" spans="2:103" ht="12.75">
      <c r="B51" s="14">
        <v>10094</v>
      </c>
      <c r="C51" s="15" t="s">
        <v>50</v>
      </c>
      <c r="D51" s="16">
        <f>RHWM!D38</f>
        <v>1</v>
      </c>
      <c r="E51" s="16">
        <f>RHWM!E38</f>
        <v>0</v>
      </c>
      <c r="F51" s="18">
        <f>RHWM!M38</f>
        <v>3.032</v>
      </c>
      <c r="G51" s="18">
        <f>RHWM!N38</f>
        <v>3.031</v>
      </c>
      <c r="H51" s="18">
        <f>RHWM!O38</f>
        <v>3.037</v>
      </c>
      <c r="I51" s="18">
        <v>0</v>
      </c>
      <c r="J51" s="18">
        <v>0</v>
      </c>
      <c r="K51" s="18">
        <v>0</v>
      </c>
      <c r="L51" s="18">
        <v>0</v>
      </c>
      <c r="M51" s="18">
        <v>0</v>
      </c>
      <c r="N51" s="18">
        <v>0</v>
      </c>
      <c r="O51" s="81">
        <f t="shared" si="28"/>
        <v>3.037</v>
      </c>
      <c r="P51" s="63">
        <f t="shared" si="29"/>
        <v>3.031</v>
      </c>
      <c r="Q51" s="63">
        <f t="shared" si="30"/>
        <v>3.031</v>
      </c>
      <c r="R51" s="63">
        <f t="shared" si="31"/>
        <v>0</v>
      </c>
      <c r="S51" s="63">
        <f t="shared" si="32"/>
        <v>0.005999999999999783</v>
      </c>
      <c r="T51" s="67">
        <f t="shared" si="87"/>
        <v>33.949064274110405</v>
      </c>
      <c r="U51" s="138">
        <f ca="1" t="shared" si="88"/>
        <v>1.26</v>
      </c>
      <c r="V51" s="66">
        <f ca="1" t="shared" si="89"/>
        <v>3.8190600000000003</v>
      </c>
      <c r="W51" s="66">
        <f ca="1" t="shared" si="33"/>
        <v>3.037</v>
      </c>
      <c r="X51" s="66">
        <f ca="1" t="shared" si="34"/>
        <v>0.7820600000000004</v>
      </c>
      <c r="Y51" s="63">
        <f ca="1" t="shared" si="35"/>
        <v>0</v>
      </c>
      <c r="Z51" s="67">
        <f ca="1" t="shared" si="90"/>
        <v>40.68600885330341</v>
      </c>
      <c r="AA51" s="68">
        <f ca="1" t="shared" si="91"/>
        <v>0.1984427177373076</v>
      </c>
      <c r="AB51" s="169">
        <f t="shared" si="36"/>
        <v>3.031</v>
      </c>
      <c r="AC51" s="169">
        <f t="shared" si="37"/>
        <v>5</v>
      </c>
      <c r="AD51" s="169">
        <v>0</v>
      </c>
      <c r="AE51" s="171">
        <f t="shared" si="38"/>
        <v>0</v>
      </c>
      <c r="AF51" s="182">
        <v>0</v>
      </c>
      <c r="AG51" s="182">
        <f t="shared" si="39"/>
        <v>0</v>
      </c>
      <c r="AH51" s="182">
        <f t="shared" si="40"/>
        <v>0</v>
      </c>
      <c r="AI51" s="182">
        <v>0</v>
      </c>
      <c r="AJ51" s="171">
        <f t="shared" si="41"/>
        <v>0</v>
      </c>
      <c r="AK51" s="171">
        <f t="shared" si="42"/>
        <v>5</v>
      </c>
      <c r="AL51" s="171">
        <f t="shared" si="43"/>
        <v>0.31909008666287203</v>
      </c>
      <c r="AM51" s="171">
        <f t="shared" si="44"/>
        <v>5.319090086662872</v>
      </c>
      <c r="AN51" s="81">
        <f t="shared" si="45"/>
        <v>5.319090086662872</v>
      </c>
      <c r="AO51" s="63">
        <f t="shared" si="46"/>
        <v>3.031</v>
      </c>
      <c r="AP51" s="63">
        <f t="shared" si="47"/>
        <v>3.031</v>
      </c>
      <c r="AQ51" s="63">
        <f t="shared" si="48"/>
        <v>0</v>
      </c>
      <c r="AR51" s="63">
        <f t="shared" si="49"/>
        <v>2.2880900866628715</v>
      </c>
      <c r="AS51" s="67">
        <f t="shared" si="92"/>
        <v>35.5763854636149</v>
      </c>
      <c r="AT51" s="65">
        <f ca="1" t="shared" si="93"/>
        <v>1.26</v>
      </c>
      <c r="AU51" s="66">
        <f ca="1" t="shared" si="50"/>
        <v>3.8190600000000003</v>
      </c>
      <c r="AV51" s="66">
        <f ca="1" t="shared" si="51"/>
        <v>3.8190600000000003</v>
      </c>
      <c r="AW51" s="66">
        <f ca="1" t="shared" si="52"/>
        <v>0</v>
      </c>
      <c r="AX51" s="63">
        <f ca="1" t="shared" si="53"/>
        <v>1.5000300866628713</v>
      </c>
      <c r="AY51" s="67">
        <f ca="1" t="shared" si="94"/>
        <v>36.38031310262951</v>
      </c>
      <c r="AZ51" s="65">
        <f ca="1" t="shared" si="54"/>
        <v>0.0225972264618286</v>
      </c>
      <c r="BA51" s="68">
        <f ca="1" t="shared" si="95"/>
        <v>-0.10582742992064986</v>
      </c>
      <c r="BB51" s="169">
        <f t="shared" si="55"/>
        <v>3.031</v>
      </c>
      <c r="BC51" s="169">
        <f t="shared" si="56"/>
        <v>5</v>
      </c>
      <c r="BD51" s="169">
        <v>0</v>
      </c>
      <c r="BE51" s="171">
        <f t="shared" si="57"/>
        <v>0</v>
      </c>
      <c r="BF51" s="182">
        <v>0</v>
      </c>
      <c r="BG51" s="182">
        <f t="shared" si="58"/>
        <v>0</v>
      </c>
      <c r="BH51" s="182">
        <f t="shared" si="59"/>
        <v>0</v>
      </c>
      <c r="BI51" s="169">
        <f t="shared" si="60"/>
        <v>0</v>
      </c>
      <c r="BJ51" s="171">
        <f t="shared" si="61"/>
        <v>5</v>
      </c>
      <c r="BK51" s="171">
        <f t="shared" si="62"/>
        <v>0.09593190376411076</v>
      </c>
      <c r="BL51" s="171">
        <f t="shared" si="63"/>
        <v>5.095931903764111</v>
      </c>
      <c r="BM51" s="81">
        <f t="shared" si="64"/>
        <v>5.095931903764111</v>
      </c>
      <c r="BN51" s="63">
        <f t="shared" si="96"/>
        <v>3.031</v>
      </c>
      <c r="BO51" s="63">
        <f t="shared" si="65"/>
        <v>3.031</v>
      </c>
      <c r="BP51" s="63">
        <f t="shared" si="66"/>
        <v>0</v>
      </c>
      <c r="BQ51" s="63">
        <f t="shared" si="67"/>
        <v>2.0649319037641107</v>
      </c>
      <c r="BR51" s="67">
        <f t="shared" si="68"/>
        <v>34.790963136607154</v>
      </c>
      <c r="BS51" s="69">
        <f ca="1" t="shared" si="97"/>
        <v>1.26</v>
      </c>
      <c r="BT51" s="66">
        <f ca="1" t="shared" si="69"/>
        <v>3.8190600000000003</v>
      </c>
      <c r="BU51" s="66">
        <f ca="1" t="shared" si="70"/>
        <v>3.8190600000000003</v>
      </c>
      <c r="BV51" s="66">
        <f ca="1" t="shared" si="71"/>
        <v>0</v>
      </c>
      <c r="BW51" s="63">
        <f ca="1" t="shared" si="72"/>
        <v>1.2768719037641105</v>
      </c>
      <c r="BX51" s="67">
        <f ca="1" t="shared" si="98"/>
        <v>35.05800570624853</v>
      </c>
      <c r="BY51" s="65">
        <f ca="1" t="shared" si="73"/>
        <v>0.007675630266193778</v>
      </c>
      <c r="BZ51" s="68">
        <f ca="1" t="shared" si="99"/>
        <v>-0.1383277275327518</v>
      </c>
      <c r="CA51" s="81">
        <f t="shared" si="74"/>
        <v>3.031</v>
      </c>
      <c r="CB51" s="63">
        <f t="shared" si="75"/>
        <v>3.031</v>
      </c>
      <c r="CC51" s="67">
        <f t="shared" si="76"/>
        <v>35.90132553133049</v>
      </c>
      <c r="CD51" s="69">
        <f ca="1" t="shared" si="100"/>
        <v>1.26</v>
      </c>
      <c r="CE51" s="190">
        <f ca="1" t="shared" si="77"/>
        <v>3.8190600000000003</v>
      </c>
      <c r="CF51" s="70">
        <f ca="1" t="shared" si="78"/>
        <v>3.8190600000000003</v>
      </c>
      <c r="CG51" s="67">
        <f ca="1" t="shared" si="79"/>
        <v>39.30481757441425</v>
      </c>
      <c r="CH51" s="65">
        <f ca="1" t="shared" si="80"/>
        <v>0.09480129194989151</v>
      </c>
      <c r="CI51" s="65">
        <f ca="1" t="shared" si="101"/>
        <v>-0.03394757357176903</v>
      </c>
      <c r="CJ51" s="68">
        <f ca="1" t="shared" si="81"/>
        <v>0.12113672134546993</v>
      </c>
      <c r="CL51" s="97">
        <f ca="1" t="shared" si="102"/>
        <v>1361149.0265885612</v>
      </c>
      <c r="CM51" s="97">
        <f ca="1" t="shared" si="103"/>
        <v>1217102.1233656995</v>
      </c>
      <c r="CN51" s="97">
        <f ca="1" t="shared" si="104"/>
        <v>1172864.3749071483</v>
      </c>
      <c r="CO51" s="97">
        <f ca="1" t="shared" si="82"/>
        <v>1314941.3198663043</v>
      </c>
      <c r="CQ51" s="97">
        <f t="shared" si="105"/>
        <v>901400.6170178989</v>
      </c>
      <c r="CR51" s="97">
        <f t="shared" si="106"/>
        <v>944608.5332202988</v>
      </c>
      <c r="CS51" s="97">
        <f t="shared" si="107"/>
        <v>923754.3451794131</v>
      </c>
      <c r="CT51" s="97">
        <f t="shared" si="83"/>
        <v>953236.1989246535</v>
      </c>
      <c r="CV51" s="97">
        <f ca="1" t="shared" si="108"/>
        <v>1361149.0265885612</v>
      </c>
      <c r="CW51" s="97">
        <f ca="1" t="shared" si="84"/>
        <v>1217102.1233656995</v>
      </c>
      <c r="CX51" s="97">
        <f ca="1" t="shared" si="85"/>
        <v>1217102.1233656995</v>
      </c>
      <c r="CY51" s="97">
        <f ca="1" t="shared" si="86"/>
        <v>1314941.3198663043</v>
      </c>
    </row>
    <row r="52" spans="2:103" ht="12.75">
      <c r="B52" s="14">
        <v>10095</v>
      </c>
      <c r="C52" s="15" t="s">
        <v>51</v>
      </c>
      <c r="D52" s="16">
        <f>RHWM!D39</f>
        <v>1</v>
      </c>
      <c r="E52" s="16">
        <f>RHWM!E39</f>
        <v>0</v>
      </c>
      <c r="F52" s="18">
        <f>RHWM!M39</f>
        <v>3.829</v>
      </c>
      <c r="G52" s="18">
        <f>RHWM!N39</f>
        <v>3.828</v>
      </c>
      <c r="H52" s="18">
        <f>RHWM!O39</f>
        <v>3.643</v>
      </c>
      <c r="I52" s="18">
        <v>0.186</v>
      </c>
      <c r="J52" s="18">
        <v>0.185</v>
      </c>
      <c r="K52" s="18">
        <v>0.186</v>
      </c>
      <c r="L52" s="18">
        <v>0.185</v>
      </c>
      <c r="M52" s="18">
        <v>0</v>
      </c>
      <c r="N52" s="18">
        <v>0</v>
      </c>
      <c r="O52" s="81">
        <f t="shared" si="28"/>
        <v>3.643</v>
      </c>
      <c r="P52" s="63">
        <f t="shared" si="29"/>
        <v>3.828</v>
      </c>
      <c r="Q52" s="63">
        <f t="shared" si="30"/>
        <v>3.643</v>
      </c>
      <c r="R52" s="63">
        <f t="shared" si="31"/>
        <v>0.18500000000000005</v>
      </c>
      <c r="S52" s="63">
        <f t="shared" si="32"/>
        <v>0</v>
      </c>
      <c r="T52" s="67">
        <f t="shared" si="87"/>
        <v>35.358840425962434</v>
      </c>
      <c r="U52" s="138">
        <f ca="1" t="shared" si="88"/>
        <v>1.05</v>
      </c>
      <c r="V52" s="66">
        <f ca="1" t="shared" si="89"/>
        <v>4.0194</v>
      </c>
      <c r="W52" s="66">
        <f ca="1" t="shared" si="33"/>
        <v>3.643</v>
      </c>
      <c r="X52" s="66">
        <f ca="1" t="shared" si="34"/>
        <v>0.3764000000000003</v>
      </c>
      <c r="Y52" s="63">
        <f ca="1" t="shared" si="35"/>
        <v>0</v>
      </c>
      <c r="Z52" s="67">
        <f ca="1" t="shared" si="90"/>
        <v>37.55085672067315</v>
      </c>
      <c r="AA52" s="68">
        <f ca="1" t="shared" si="91"/>
        <v>0.06199344402429041</v>
      </c>
      <c r="AB52" s="169">
        <f t="shared" si="36"/>
        <v>3.643</v>
      </c>
      <c r="AC52" s="169">
        <f t="shared" si="37"/>
        <v>5</v>
      </c>
      <c r="AD52" s="169">
        <v>0</v>
      </c>
      <c r="AE52" s="171">
        <f t="shared" si="38"/>
        <v>0</v>
      </c>
      <c r="AF52" s="182">
        <v>0</v>
      </c>
      <c r="AG52" s="182">
        <f t="shared" si="39"/>
        <v>0</v>
      </c>
      <c r="AH52" s="182">
        <f t="shared" si="40"/>
        <v>0</v>
      </c>
      <c r="AI52" s="182">
        <v>0</v>
      </c>
      <c r="AJ52" s="171">
        <f t="shared" si="41"/>
        <v>0.09250000000000003</v>
      </c>
      <c r="AK52" s="171">
        <f t="shared" si="42"/>
        <v>5.0925</v>
      </c>
      <c r="AL52" s="171">
        <f t="shared" si="43"/>
        <v>0.32499325326613515</v>
      </c>
      <c r="AM52" s="171">
        <f t="shared" si="44"/>
        <v>5.4174932532661355</v>
      </c>
      <c r="AN52" s="81">
        <f t="shared" si="45"/>
        <v>5.4174932532661355</v>
      </c>
      <c r="AO52" s="63">
        <f t="shared" si="46"/>
        <v>3.828</v>
      </c>
      <c r="AP52" s="63">
        <f t="shared" si="47"/>
        <v>3.828</v>
      </c>
      <c r="AQ52" s="63">
        <f t="shared" si="48"/>
        <v>0</v>
      </c>
      <c r="AR52" s="63">
        <f t="shared" si="49"/>
        <v>1.5894932532661357</v>
      </c>
      <c r="AS52" s="67">
        <f t="shared" si="92"/>
        <v>35.5763854636149</v>
      </c>
      <c r="AT52" s="65">
        <f ca="1" t="shared" si="93"/>
        <v>1.05</v>
      </c>
      <c r="AU52" s="66">
        <f ca="1" t="shared" si="50"/>
        <v>4.0194</v>
      </c>
      <c r="AV52" s="66">
        <f ca="1" t="shared" si="51"/>
        <v>4.0194</v>
      </c>
      <c r="AW52" s="66">
        <f ca="1" t="shared" si="52"/>
        <v>0</v>
      </c>
      <c r="AX52" s="63">
        <f ca="1" t="shared" si="53"/>
        <v>1.3980932532661354</v>
      </c>
      <c r="AY52" s="67">
        <f ca="1" t="shared" si="94"/>
        <v>36.38031310262951</v>
      </c>
      <c r="AZ52" s="65">
        <f ca="1" t="shared" si="54"/>
        <v>0.0225972264618286</v>
      </c>
      <c r="BA52" s="68">
        <f ca="1" t="shared" si="95"/>
        <v>-0.031172221362374852</v>
      </c>
      <c r="BB52" s="169">
        <f t="shared" si="55"/>
        <v>3.643</v>
      </c>
      <c r="BC52" s="169">
        <f t="shared" si="56"/>
        <v>5</v>
      </c>
      <c r="BD52" s="169">
        <v>0</v>
      </c>
      <c r="BE52" s="171">
        <f t="shared" si="57"/>
        <v>0</v>
      </c>
      <c r="BF52" s="182">
        <v>0</v>
      </c>
      <c r="BG52" s="182">
        <f t="shared" si="58"/>
        <v>0</v>
      </c>
      <c r="BH52" s="182">
        <f t="shared" si="59"/>
        <v>0</v>
      </c>
      <c r="BI52" s="169">
        <f t="shared" si="60"/>
        <v>0.04625000000000001</v>
      </c>
      <c r="BJ52" s="171">
        <f t="shared" si="61"/>
        <v>5.04625</v>
      </c>
      <c r="BK52" s="171">
        <f t="shared" si="62"/>
        <v>0.09681927387392877</v>
      </c>
      <c r="BL52" s="171">
        <f t="shared" si="63"/>
        <v>5.1430692738739285</v>
      </c>
      <c r="BM52" s="81">
        <f t="shared" si="64"/>
        <v>5.1430692738739285</v>
      </c>
      <c r="BN52" s="63">
        <f t="shared" si="96"/>
        <v>3.828</v>
      </c>
      <c r="BO52" s="63">
        <f t="shared" si="65"/>
        <v>3.828</v>
      </c>
      <c r="BP52" s="63">
        <f t="shared" si="66"/>
        <v>0</v>
      </c>
      <c r="BQ52" s="63">
        <f t="shared" si="67"/>
        <v>1.3150692738739287</v>
      </c>
      <c r="BR52" s="67">
        <f t="shared" si="68"/>
        <v>34.790963136607154</v>
      </c>
      <c r="BS52" s="69">
        <f ca="1" t="shared" si="97"/>
        <v>1.05</v>
      </c>
      <c r="BT52" s="66">
        <f ca="1" t="shared" si="69"/>
        <v>4.0194</v>
      </c>
      <c r="BU52" s="66">
        <f ca="1" t="shared" si="70"/>
        <v>4.0194</v>
      </c>
      <c r="BV52" s="66">
        <f ca="1" t="shared" si="71"/>
        <v>0</v>
      </c>
      <c r="BW52" s="63">
        <f ca="1" t="shared" si="72"/>
        <v>1.1236692738739285</v>
      </c>
      <c r="BX52" s="67">
        <f ca="1" t="shared" si="98"/>
        <v>35.05800570624853</v>
      </c>
      <c r="BY52" s="65">
        <f ca="1" t="shared" si="73"/>
        <v>0.007675630266193778</v>
      </c>
      <c r="BZ52" s="68">
        <f ca="1" t="shared" si="99"/>
        <v>-0.06638599574353299</v>
      </c>
      <c r="CA52" s="81">
        <f t="shared" si="74"/>
        <v>3.828</v>
      </c>
      <c r="CB52" s="63">
        <f t="shared" si="75"/>
        <v>3.828</v>
      </c>
      <c r="CC52" s="67">
        <f t="shared" si="76"/>
        <v>35.90132553133049</v>
      </c>
      <c r="CD52" s="69">
        <f ca="1" t="shared" si="100"/>
        <v>1.05</v>
      </c>
      <c r="CE52" s="190">
        <f ca="1" t="shared" si="77"/>
        <v>4.0194</v>
      </c>
      <c r="CF52" s="70">
        <f ca="1" t="shared" si="78"/>
        <v>4.0194</v>
      </c>
      <c r="CG52" s="67">
        <f ca="1" t="shared" si="79"/>
        <v>39.30481757441425</v>
      </c>
      <c r="CH52" s="65">
        <f ca="1" t="shared" si="80"/>
        <v>0.09480129194989151</v>
      </c>
      <c r="CI52" s="65">
        <f ca="1" t="shared" si="101"/>
        <v>0.046708943734311115</v>
      </c>
      <c r="CJ52" s="68">
        <f ca="1" t="shared" si="81"/>
        <v>0.12113672134546993</v>
      </c>
      <c r="CL52" s="97">
        <f ca="1" t="shared" si="102"/>
        <v>1322163.5622869253</v>
      </c>
      <c r="CM52" s="97">
        <f ca="1" t="shared" si="103"/>
        <v>1280948.7870460514</v>
      </c>
      <c r="CN52" s="97">
        <f ca="1" t="shared" si="104"/>
        <v>1234390.4176686911</v>
      </c>
      <c r="CO52" s="97">
        <f ca="1" t="shared" si="82"/>
        <v>1383920.4257253415</v>
      </c>
      <c r="CQ52" s="97">
        <f t="shared" si="105"/>
        <v>1185697.8964791177</v>
      </c>
      <c r="CR52" s="97">
        <f t="shared" si="106"/>
        <v>1192992.8951393282</v>
      </c>
      <c r="CS52" s="97">
        <f t="shared" si="107"/>
        <v>1166655.108329526</v>
      </c>
      <c r="CT52" s="97">
        <f t="shared" si="83"/>
        <v>1203889.201413254</v>
      </c>
      <c r="CV52" s="97">
        <f ca="1" t="shared" si="108"/>
        <v>1322163.5622869255</v>
      </c>
      <c r="CW52" s="97">
        <f ca="1" t="shared" si="84"/>
        <v>1280948.7870460511</v>
      </c>
      <c r="CX52" s="97">
        <f ca="1" t="shared" si="85"/>
        <v>1280948.7870460511</v>
      </c>
      <c r="CY52" s="97">
        <f ca="1" t="shared" si="86"/>
        <v>1383920.4257253415</v>
      </c>
    </row>
    <row r="53" spans="2:103" ht="12.75">
      <c r="B53" s="14">
        <v>10097</v>
      </c>
      <c r="C53" s="15" t="s">
        <v>52</v>
      </c>
      <c r="D53" s="16">
        <f>RHWM!D40</f>
        <v>1</v>
      </c>
      <c r="E53" s="16">
        <f>RHWM!E40</f>
        <v>0</v>
      </c>
      <c r="F53" s="18">
        <f>RHWM!M40</f>
        <v>1.997</v>
      </c>
      <c r="G53" s="18">
        <f>RHWM!N40</f>
        <v>2</v>
      </c>
      <c r="H53" s="18">
        <f>RHWM!O40</f>
        <v>2.038</v>
      </c>
      <c r="I53" s="18">
        <v>0</v>
      </c>
      <c r="J53" s="18">
        <v>0</v>
      </c>
      <c r="K53" s="18">
        <v>0</v>
      </c>
      <c r="L53" s="18">
        <v>0</v>
      </c>
      <c r="M53" s="18">
        <v>0</v>
      </c>
      <c r="N53" s="18">
        <v>0</v>
      </c>
      <c r="O53" s="81">
        <f t="shared" si="28"/>
        <v>2.038</v>
      </c>
      <c r="P53" s="63">
        <f t="shared" si="29"/>
        <v>2</v>
      </c>
      <c r="Q53" s="63">
        <f t="shared" si="30"/>
        <v>2</v>
      </c>
      <c r="R53" s="63">
        <f t="shared" si="31"/>
        <v>0</v>
      </c>
      <c r="S53" s="63">
        <f t="shared" si="32"/>
        <v>0.03799999999999981</v>
      </c>
      <c r="T53" s="67">
        <f t="shared" si="87"/>
        <v>33.949064274110405</v>
      </c>
      <c r="U53" s="138">
        <f ca="1" t="shared" si="88"/>
        <v>1.26</v>
      </c>
      <c r="V53" s="66">
        <f ca="1" t="shared" si="89"/>
        <v>2.52</v>
      </c>
      <c r="W53" s="66">
        <f ca="1" t="shared" si="33"/>
        <v>2.038</v>
      </c>
      <c r="X53" s="66">
        <f ca="1" t="shared" si="34"/>
        <v>0.4820000000000002</v>
      </c>
      <c r="Y53" s="63">
        <f ca="1" t="shared" si="35"/>
        <v>0</v>
      </c>
      <c r="Z53" s="67">
        <f ca="1" t="shared" si="90"/>
        <v>40.30492647949145</v>
      </c>
      <c r="AA53" s="68">
        <f ca="1" t="shared" si="91"/>
        <v>0.18721759616296785</v>
      </c>
      <c r="AB53" s="169">
        <f t="shared" si="36"/>
        <v>2</v>
      </c>
      <c r="AC53" s="169">
        <f t="shared" si="37"/>
        <v>4</v>
      </c>
      <c r="AD53" s="169">
        <v>0</v>
      </c>
      <c r="AE53" s="171">
        <f t="shared" si="38"/>
        <v>0</v>
      </c>
      <c r="AF53" s="182">
        <v>0</v>
      </c>
      <c r="AG53" s="182">
        <f t="shared" si="39"/>
        <v>0</v>
      </c>
      <c r="AH53" s="182">
        <f t="shared" si="40"/>
        <v>0</v>
      </c>
      <c r="AI53" s="182">
        <v>0</v>
      </c>
      <c r="AJ53" s="171">
        <f t="shared" si="41"/>
        <v>0</v>
      </c>
      <c r="AK53" s="171">
        <f t="shared" si="42"/>
        <v>4</v>
      </c>
      <c r="AL53" s="171">
        <f t="shared" si="43"/>
        <v>0.2552720693302976</v>
      </c>
      <c r="AM53" s="171">
        <f t="shared" si="44"/>
        <v>4.255272069330298</v>
      </c>
      <c r="AN53" s="81">
        <f t="shared" si="45"/>
        <v>4.255272069330298</v>
      </c>
      <c r="AO53" s="63">
        <f t="shared" si="46"/>
        <v>2</v>
      </c>
      <c r="AP53" s="63">
        <f t="shared" si="47"/>
        <v>2</v>
      </c>
      <c r="AQ53" s="63">
        <f t="shared" si="48"/>
        <v>0</v>
      </c>
      <c r="AR53" s="63">
        <f t="shared" si="49"/>
        <v>2.2552720693302977</v>
      </c>
      <c r="AS53" s="67">
        <f t="shared" si="92"/>
        <v>35.5763854636149</v>
      </c>
      <c r="AT53" s="65">
        <f ca="1" t="shared" si="93"/>
        <v>1.26</v>
      </c>
      <c r="AU53" s="66">
        <f ca="1" t="shared" si="50"/>
        <v>2.52</v>
      </c>
      <c r="AV53" s="66">
        <f ca="1" t="shared" si="51"/>
        <v>2.52</v>
      </c>
      <c r="AW53" s="66">
        <f ca="1" t="shared" si="52"/>
        <v>0</v>
      </c>
      <c r="AX53" s="63">
        <f ca="1" t="shared" si="53"/>
        <v>1.7352720693302977</v>
      </c>
      <c r="AY53" s="67">
        <f ca="1" t="shared" si="94"/>
        <v>36.38031310262951</v>
      </c>
      <c r="AZ53" s="65">
        <f ca="1" t="shared" si="54"/>
        <v>0.0225972264618286</v>
      </c>
      <c r="BA53" s="68">
        <f ca="1" t="shared" si="95"/>
        <v>-0.09737304393444113</v>
      </c>
      <c r="BB53" s="169">
        <f t="shared" si="55"/>
        <v>2</v>
      </c>
      <c r="BC53" s="169">
        <f t="shared" si="56"/>
        <v>4</v>
      </c>
      <c r="BD53" s="169">
        <v>0</v>
      </c>
      <c r="BE53" s="171">
        <f t="shared" si="57"/>
        <v>0</v>
      </c>
      <c r="BF53" s="182">
        <v>0</v>
      </c>
      <c r="BG53" s="182">
        <f t="shared" si="58"/>
        <v>0</v>
      </c>
      <c r="BH53" s="182">
        <f t="shared" si="59"/>
        <v>0</v>
      </c>
      <c r="BI53" s="169">
        <f t="shared" si="60"/>
        <v>0</v>
      </c>
      <c r="BJ53" s="171">
        <f t="shared" si="61"/>
        <v>4</v>
      </c>
      <c r="BK53" s="171">
        <f t="shared" si="62"/>
        <v>0.0767455230112886</v>
      </c>
      <c r="BL53" s="171">
        <f t="shared" si="63"/>
        <v>4.076745523011288</v>
      </c>
      <c r="BM53" s="81">
        <f t="shared" si="64"/>
        <v>4.076745523011288</v>
      </c>
      <c r="BN53" s="63">
        <f t="shared" si="96"/>
        <v>2</v>
      </c>
      <c r="BO53" s="63">
        <f t="shared" si="65"/>
        <v>2</v>
      </c>
      <c r="BP53" s="63">
        <f t="shared" si="66"/>
        <v>0</v>
      </c>
      <c r="BQ53" s="63">
        <f t="shared" si="67"/>
        <v>2.0767455230112883</v>
      </c>
      <c r="BR53" s="67">
        <f t="shared" si="68"/>
        <v>34.790963136607154</v>
      </c>
      <c r="BS53" s="69">
        <f ca="1" t="shared" si="97"/>
        <v>1.26</v>
      </c>
      <c r="BT53" s="66">
        <f ca="1" t="shared" si="69"/>
        <v>2.52</v>
      </c>
      <c r="BU53" s="66">
        <f ca="1" t="shared" si="70"/>
        <v>2.52</v>
      </c>
      <c r="BV53" s="66">
        <f ca="1" t="shared" si="71"/>
        <v>0</v>
      </c>
      <c r="BW53" s="63">
        <f ca="1" t="shared" si="72"/>
        <v>1.5567455230112883</v>
      </c>
      <c r="BX53" s="67">
        <f ca="1" t="shared" si="98"/>
        <v>35.05800570624853</v>
      </c>
      <c r="BY53" s="65">
        <f ca="1" t="shared" si="73"/>
        <v>0.007675630266193778</v>
      </c>
      <c r="BZ53" s="68">
        <f ca="1" t="shared" si="99"/>
        <v>-0.13018063129113355</v>
      </c>
      <c r="CA53" s="81">
        <f t="shared" si="74"/>
        <v>2</v>
      </c>
      <c r="CB53" s="63">
        <f t="shared" si="75"/>
        <v>2</v>
      </c>
      <c r="CC53" s="67">
        <f t="shared" si="76"/>
        <v>35.90132553133049</v>
      </c>
      <c r="CD53" s="69">
        <f ca="1" t="shared" si="100"/>
        <v>1.26</v>
      </c>
      <c r="CE53" s="190">
        <f ca="1" t="shared" si="77"/>
        <v>2.52</v>
      </c>
      <c r="CF53" s="70">
        <f ca="1" t="shared" si="78"/>
        <v>2.52</v>
      </c>
      <c r="CG53" s="67">
        <f ca="1" t="shared" si="79"/>
        <v>39.30481757441425</v>
      </c>
      <c r="CH53" s="65">
        <f ca="1" t="shared" si="80"/>
        <v>0.09480129194989151</v>
      </c>
      <c r="CI53" s="65">
        <f ca="1" t="shared" si="101"/>
        <v>-0.024813564802955046</v>
      </c>
      <c r="CJ53" s="68">
        <f ca="1" t="shared" si="81"/>
        <v>0.12113672134546993</v>
      </c>
      <c r="CL53" s="97">
        <f ca="1" t="shared" si="102"/>
        <v>889739.3130200697</v>
      </c>
      <c r="CM53" s="97">
        <f ca="1" t="shared" si="103"/>
        <v>803102.6878031669</v>
      </c>
      <c r="CN53" s="97">
        <f ca="1" t="shared" si="104"/>
        <v>773912.4875665776</v>
      </c>
      <c r="CO53" s="97">
        <f ca="1" t="shared" si="82"/>
        <v>867661.7089187094</v>
      </c>
      <c r="CQ53" s="97">
        <f t="shared" si="105"/>
        <v>594787.6060824143</v>
      </c>
      <c r="CR53" s="97">
        <f t="shared" si="106"/>
        <v>623298.273322533</v>
      </c>
      <c r="CS53" s="97">
        <f t="shared" si="107"/>
        <v>609537.6741533573</v>
      </c>
      <c r="CT53" s="97">
        <f t="shared" si="83"/>
        <v>628991.2233089103</v>
      </c>
      <c r="CV53" s="97">
        <f ca="1" t="shared" si="108"/>
        <v>889739.3130200697</v>
      </c>
      <c r="CW53" s="97">
        <f ca="1" t="shared" si="84"/>
        <v>803102.6878031669</v>
      </c>
      <c r="CX53" s="97">
        <f ca="1" t="shared" si="85"/>
        <v>803102.6878031669</v>
      </c>
      <c r="CY53" s="97">
        <f ca="1" t="shared" si="86"/>
        <v>867661.7089187094</v>
      </c>
    </row>
    <row r="54" spans="2:103" ht="12.75">
      <c r="B54" s="14">
        <v>10101</v>
      </c>
      <c r="C54" s="15" t="s">
        <v>53</v>
      </c>
      <c r="D54" s="16">
        <f>RHWM!D41</f>
        <v>1</v>
      </c>
      <c r="E54" s="16">
        <f>RHWM!E41</f>
        <v>0</v>
      </c>
      <c r="F54" s="18">
        <f>RHWM!M41</f>
        <v>77.478</v>
      </c>
      <c r="G54" s="18">
        <f>RHWM!N41</f>
        <v>77.472</v>
      </c>
      <c r="H54" s="18">
        <f>RHWM!O41</f>
        <v>76.028</v>
      </c>
      <c r="I54" s="18">
        <v>1.45</v>
      </c>
      <c r="J54" s="18">
        <v>1.444</v>
      </c>
      <c r="K54" s="18">
        <v>0</v>
      </c>
      <c r="L54" s="18">
        <v>0</v>
      </c>
      <c r="M54" s="18">
        <v>1.45</v>
      </c>
      <c r="N54" s="18">
        <v>1.444</v>
      </c>
      <c r="O54" s="81">
        <f t="shared" si="28"/>
        <v>76.028</v>
      </c>
      <c r="P54" s="63">
        <f t="shared" si="29"/>
        <v>77.472</v>
      </c>
      <c r="Q54" s="63">
        <f t="shared" si="30"/>
        <v>76.028</v>
      </c>
      <c r="R54" s="63">
        <f t="shared" si="31"/>
        <v>1.4439999999999884</v>
      </c>
      <c r="S54" s="63">
        <f t="shared" si="32"/>
        <v>0</v>
      </c>
      <c r="T54" s="67">
        <f t="shared" si="87"/>
        <v>34.492781116171855</v>
      </c>
      <c r="U54" s="138">
        <f ca="1" t="shared" si="88"/>
        <v>1.29</v>
      </c>
      <c r="V54" s="66">
        <f ca="1" t="shared" si="89"/>
        <v>99.93888</v>
      </c>
      <c r="W54" s="66">
        <f ca="1" t="shared" si="33"/>
        <v>76.028</v>
      </c>
      <c r="X54" s="66">
        <f ca="1" t="shared" si="34"/>
        <v>23.91087999999999</v>
      </c>
      <c r="Y54" s="63">
        <f ca="1" t="shared" si="35"/>
        <v>0</v>
      </c>
      <c r="Z54" s="67">
        <f ca="1" t="shared" si="90"/>
        <v>41.65863594365379</v>
      </c>
      <c r="AA54" s="68">
        <f ca="1" t="shared" si="91"/>
        <v>0.20774940713963597</v>
      </c>
      <c r="AB54" s="169">
        <f t="shared" si="36"/>
        <v>76.028</v>
      </c>
      <c r="AC54" s="169">
        <f t="shared" si="37"/>
        <v>76.028</v>
      </c>
      <c r="AD54" s="169">
        <v>2.5294999999999996</v>
      </c>
      <c r="AE54" s="171">
        <f t="shared" si="38"/>
        <v>1.2647499999999998</v>
      </c>
      <c r="AF54" s="182">
        <v>0</v>
      </c>
      <c r="AG54" s="182">
        <f t="shared" si="39"/>
        <v>0</v>
      </c>
      <c r="AH54" s="182">
        <f t="shared" si="40"/>
        <v>0</v>
      </c>
      <c r="AI54" s="182">
        <v>0</v>
      </c>
      <c r="AJ54" s="171">
        <f t="shared" si="41"/>
        <v>0.7219999999999942</v>
      </c>
      <c r="AK54" s="171">
        <f t="shared" si="42"/>
        <v>78.01475</v>
      </c>
      <c r="AL54" s="171">
        <f t="shared" si="43"/>
        <v>4.978746667696459</v>
      </c>
      <c r="AM54" s="171">
        <f t="shared" si="44"/>
        <v>82.99349666769646</v>
      </c>
      <c r="AN54" s="81">
        <f t="shared" si="45"/>
        <v>82.99349666769646</v>
      </c>
      <c r="AO54" s="63">
        <f t="shared" si="46"/>
        <v>77.472</v>
      </c>
      <c r="AP54" s="63">
        <f t="shared" si="47"/>
        <v>77.472</v>
      </c>
      <c r="AQ54" s="63">
        <f t="shared" si="48"/>
        <v>0</v>
      </c>
      <c r="AR54" s="63">
        <f t="shared" si="49"/>
        <v>5.521496667696468</v>
      </c>
      <c r="AS54" s="67">
        <f t="shared" si="92"/>
        <v>35.5763854636149</v>
      </c>
      <c r="AT54" s="65">
        <f ca="1" t="shared" si="93"/>
        <v>1.29</v>
      </c>
      <c r="AU54" s="66">
        <f ca="1" t="shared" si="50"/>
        <v>99.93888</v>
      </c>
      <c r="AV54" s="66">
        <f ca="1" t="shared" si="51"/>
        <v>82.99349666769646</v>
      </c>
      <c r="AW54" s="66">
        <f ca="1" t="shared" si="52"/>
        <v>16.945383332303535</v>
      </c>
      <c r="AX54" s="63">
        <f ca="1" t="shared" si="53"/>
        <v>0</v>
      </c>
      <c r="AY54" s="67">
        <f ca="1" t="shared" si="94"/>
        <v>40.91422667722347</v>
      </c>
      <c r="AZ54" s="65">
        <f ca="1" t="shared" si="54"/>
        <v>0.15003888517757802</v>
      </c>
      <c r="BA54" s="68">
        <f ca="1" t="shared" si="95"/>
        <v>-0.017869266469434764</v>
      </c>
      <c r="BB54" s="169">
        <f t="shared" si="55"/>
        <v>76.028</v>
      </c>
      <c r="BC54" s="169">
        <f t="shared" si="56"/>
        <v>76.028</v>
      </c>
      <c r="BD54" s="169">
        <v>2.5294999999999996</v>
      </c>
      <c r="BE54" s="171">
        <f t="shared" si="57"/>
        <v>1.2647499999999998</v>
      </c>
      <c r="BF54" s="182">
        <v>0</v>
      </c>
      <c r="BG54" s="182">
        <f t="shared" si="58"/>
        <v>0</v>
      </c>
      <c r="BH54" s="182">
        <f t="shared" si="59"/>
        <v>0</v>
      </c>
      <c r="BI54" s="169">
        <f t="shared" si="60"/>
        <v>0.3609999999999971</v>
      </c>
      <c r="BJ54" s="171">
        <f t="shared" si="61"/>
        <v>77.65375</v>
      </c>
      <c r="BK54" s="171">
        <f t="shared" si="62"/>
        <v>1.4898944143844632</v>
      </c>
      <c r="BL54" s="171">
        <f t="shared" si="63"/>
        <v>79.14364441438447</v>
      </c>
      <c r="BM54" s="81">
        <f t="shared" si="64"/>
        <v>79.14364441438447</v>
      </c>
      <c r="BN54" s="63">
        <f t="shared" si="96"/>
        <v>77.472</v>
      </c>
      <c r="BO54" s="63">
        <f t="shared" si="65"/>
        <v>77.472</v>
      </c>
      <c r="BP54" s="63">
        <f t="shared" si="66"/>
        <v>0</v>
      </c>
      <c r="BQ54" s="63">
        <f t="shared" si="67"/>
        <v>1.671644414384474</v>
      </c>
      <c r="BR54" s="67">
        <f t="shared" si="68"/>
        <v>34.790963136607154</v>
      </c>
      <c r="BS54" s="69">
        <f ca="1" t="shared" si="97"/>
        <v>1.29</v>
      </c>
      <c r="BT54" s="66">
        <f ca="1" t="shared" si="69"/>
        <v>99.93888</v>
      </c>
      <c r="BU54" s="66">
        <f ca="1" t="shared" si="70"/>
        <v>79.14364441438447</v>
      </c>
      <c r="BV54" s="66">
        <f ca="1" t="shared" si="71"/>
        <v>20.79523558561553</v>
      </c>
      <c r="BW54" s="63">
        <f ca="1" t="shared" si="72"/>
        <v>0</v>
      </c>
      <c r="BX54" s="67">
        <f ca="1" t="shared" si="98"/>
        <v>40.897132403893735</v>
      </c>
      <c r="BY54" s="65">
        <f ca="1" t="shared" si="73"/>
        <v>0.17551021060585859</v>
      </c>
      <c r="BZ54" s="68">
        <f ca="1" t="shared" si="99"/>
        <v>-0.01827960811751117</v>
      </c>
      <c r="CA54" s="81">
        <f t="shared" si="74"/>
        <v>77.472</v>
      </c>
      <c r="CB54" s="63">
        <f t="shared" si="75"/>
        <v>77.472</v>
      </c>
      <c r="CC54" s="67">
        <f t="shared" si="76"/>
        <v>35.90132553133049</v>
      </c>
      <c r="CD54" s="69">
        <f ca="1" t="shared" si="100"/>
        <v>1.29</v>
      </c>
      <c r="CE54" s="190">
        <f ca="1" t="shared" si="77"/>
        <v>99.93888</v>
      </c>
      <c r="CF54" s="70">
        <f ca="1" t="shared" si="78"/>
        <v>99.93888</v>
      </c>
      <c r="CG54" s="67">
        <f ca="1" t="shared" si="79"/>
        <v>39.30481757441425</v>
      </c>
      <c r="CH54" s="65">
        <f ca="1" t="shared" si="80"/>
        <v>0.09480129194989151</v>
      </c>
      <c r="CI54" s="65">
        <f ca="1" t="shared" si="101"/>
        <v>-0.0565025310099746</v>
      </c>
      <c r="CJ54" s="68">
        <f ca="1" t="shared" si="81"/>
        <v>-0.03893463272079889</v>
      </c>
      <c r="CL54" s="97">
        <f ca="1" t="shared" si="102"/>
        <v>36470660.58637977</v>
      </c>
      <c r="CM54" s="97">
        <f ca="1" t="shared" si="103"/>
        <v>35818956.63404544</v>
      </c>
      <c r="CN54" s="97">
        <f ca="1" t="shared" si="104"/>
        <v>35803991.20307398</v>
      </c>
      <c r="CO54" s="97">
        <f ca="1" t="shared" si="82"/>
        <v>34409975.95564359</v>
      </c>
      <c r="CQ54" s="97">
        <f t="shared" si="105"/>
        <v>23408688.71041689</v>
      </c>
      <c r="CR54" s="97">
        <f t="shared" si="106"/>
        <v>24144081.91542164</v>
      </c>
      <c r="CS54" s="97">
        <f t="shared" si="107"/>
        <v>23611051.34600445</v>
      </c>
      <c r="CT54" s="97">
        <f t="shared" si="83"/>
        <v>24364604.026093945</v>
      </c>
      <c r="CV54" s="97">
        <f ca="1" t="shared" si="108"/>
        <v>36470660.58637977</v>
      </c>
      <c r="CW54" s="97">
        <f ca="1" t="shared" si="84"/>
        <v>35818956.63404543</v>
      </c>
      <c r="CX54" s="97">
        <f ca="1" t="shared" si="85"/>
        <v>35818956.63404543</v>
      </c>
      <c r="CY54" s="97">
        <f ca="1" t="shared" si="86"/>
        <v>34409975.95564359</v>
      </c>
    </row>
    <row r="55" spans="2:103" ht="12.75">
      <c r="B55" s="14">
        <v>10103</v>
      </c>
      <c r="C55" s="15" t="s">
        <v>54</v>
      </c>
      <c r="D55" s="16">
        <f>RHWM!D42</f>
        <v>1</v>
      </c>
      <c r="E55" s="16">
        <f>RHWM!E42</f>
        <v>0</v>
      </c>
      <c r="F55" s="18">
        <f>RHWM!M42</f>
        <v>324.865</v>
      </c>
      <c r="G55" s="18">
        <f>RHWM!N42</f>
        <v>327.759</v>
      </c>
      <c r="H55" s="18">
        <f>RHWM!O42</f>
        <v>318.494</v>
      </c>
      <c r="I55" s="18">
        <v>6.371</v>
      </c>
      <c r="J55" s="18">
        <v>9.265</v>
      </c>
      <c r="K55" s="18">
        <v>0</v>
      </c>
      <c r="L55" s="18">
        <v>0</v>
      </c>
      <c r="M55" s="18">
        <v>6.371</v>
      </c>
      <c r="N55" s="18">
        <v>9.265</v>
      </c>
      <c r="O55" s="81">
        <f t="shared" si="28"/>
        <v>318.494</v>
      </c>
      <c r="P55" s="63">
        <f t="shared" si="29"/>
        <v>327.759</v>
      </c>
      <c r="Q55" s="63">
        <f t="shared" si="30"/>
        <v>318.494</v>
      </c>
      <c r="R55" s="63">
        <f t="shared" si="31"/>
        <v>9.264999999999986</v>
      </c>
      <c r="S55" s="63">
        <f t="shared" si="32"/>
        <v>0</v>
      </c>
      <c r="T55" s="67">
        <f t="shared" si="87"/>
        <v>34.77366014943455</v>
      </c>
      <c r="U55" s="138">
        <f ca="1" t="shared" si="88"/>
        <v>0.9</v>
      </c>
      <c r="V55" s="66">
        <f ca="1" t="shared" si="89"/>
        <v>294.98310000000004</v>
      </c>
      <c r="W55" s="66">
        <f ca="1" t="shared" si="33"/>
        <v>294.98310000000004</v>
      </c>
      <c r="X55" s="66">
        <f ca="1" t="shared" si="34"/>
        <v>0</v>
      </c>
      <c r="Y55" s="63">
        <f ca="1" t="shared" si="35"/>
        <v>23.510899999999992</v>
      </c>
      <c r="Z55" s="67">
        <f ca="1" t="shared" si="90"/>
        <v>34.90901605903751</v>
      </c>
      <c r="AA55" s="68">
        <f ca="1" t="shared" si="91"/>
        <v>0.0038924838231377823</v>
      </c>
      <c r="AB55" s="169">
        <f t="shared" si="36"/>
        <v>318.494</v>
      </c>
      <c r="AC55" s="169">
        <f t="shared" si="37"/>
        <v>318.494</v>
      </c>
      <c r="AD55" s="169">
        <v>41.809</v>
      </c>
      <c r="AE55" s="171">
        <f t="shared" si="38"/>
        <v>20.9045</v>
      </c>
      <c r="AF55" s="182">
        <v>246</v>
      </c>
      <c r="AG55" s="182">
        <f t="shared" si="39"/>
        <v>0</v>
      </c>
      <c r="AH55" s="182">
        <f t="shared" si="40"/>
        <v>0</v>
      </c>
      <c r="AI55" s="182">
        <v>0</v>
      </c>
      <c r="AJ55" s="171">
        <f t="shared" si="41"/>
        <v>4.632499999999993</v>
      </c>
      <c r="AK55" s="171">
        <f t="shared" si="42"/>
        <v>344.031</v>
      </c>
      <c r="AL55" s="171">
        <f t="shared" si="43"/>
        <v>21.955376320942904</v>
      </c>
      <c r="AM55" s="171">
        <f t="shared" si="44"/>
        <v>365.9863763209429</v>
      </c>
      <c r="AN55" s="81">
        <f t="shared" si="45"/>
        <v>365.9863763209429</v>
      </c>
      <c r="AO55" s="63">
        <f t="shared" si="46"/>
        <v>327.759</v>
      </c>
      <c r="AP55" s="63">
        <f t="shared" si="47"/>
        <v>327.759</v>
      </c>
      <c r="AQ55" s="63">
        <f t="shared" si="48"/>
        <v>0</v>
      </c>
      <c r="AR55" s="63">
        <f t="shared" si="49"/>
        <v>38.22737632094288</v>
      </c>
      <c r="AS55" s="67">
        <f t="shared" si="92"/>
        <v>35.5763854636149</v>
      </c>
      <c r="AT55" s="65">
        <f ca="1" t="shared" si="93"/>
        <v>0.9</v>
      </c>
      <c r="AU55" s="66">
        <f ca="1" t="shared" si="50"/>
        <v>294.98310000000004</v>
      </c>
      <c r="AV55" s="66">
        <f ca="1" t="shared" si="51"/>
        <v>294.98310000000004</v>
      </c>
      <c r="AW55" s="66">
        <f ca="1" t="shared" si="52"/>
        <v>0</v>
      </c>
      <c r="AX55" s="63">
        <f ca="1" t="shared" si="53"/>
        <v>71.00327632094286</v>
      </c>
      <c r="AY55" s="67">
        <f ca="1" t="shared" si="94"/>
        <v>36.38031310262951</v>
      </c>
      <c r="AZ55" s="65">
        <f ca="1" t="shared" si="54"/>
        <v>0.0225972264618286</v>
      </c>
      <c r="BA55" s="68">
        <f ca="1" t="shared" si="95"/>
        <v>0.0421466202629075</v>
      </c>
      <c r="BB55" s="169">
        <f t="shared" si="55"/>
        <v>318.494</v>
      </c>
      <c r="BC55" s="169">
        <f t="shared" si="56"/>
        <v>318.494</v>
      </c>
      <c r="BD55" s="169">
        <v>41.809</v>
      </c>
      <c r="BE55" s="171">
        <f t="shared" si="57"/>
        <v>20.9045</v>
      </c>
      <c r="BF55" s="182">
        <v>246</v>
      </c>
      <c r="BG55" s="182">
        <f t="shared" si="58"/>
        <v>0</v>
      </c>
      <c r="BH55" s="182">
        <f t="shared" si="59"/>
        <v>0</v>
      </c>
      <c r="BI55" s="169">
        <f t="shared" si="60"/>
        <v>2.3162499999999966</v>
      </c>
      <c r="BJ55" s="171">
        <f t="shared" si="61"/>
        <v>341.71475</v>
      </c>
      <c r="BK55" s="171">
        <f t="shared" si="62"/>
        <v>6.556269302355432</v>
      </c>
      <c r="BL55" s="171">
        <f t="shared" si="63"/>
        <v>348.2710193023554</v>
      </c>
      <c r="BM55" s="81">
        <f t="shared" si="64"/>
        <v>348.2710193023554</v>
      </c>
      <c r="BN55" s="63">
        <f t="shared" si="96"/>
        <v>327.759</v>
      </c>
      <c r="BO55" s="63">
        <f t="shared" si="65"/>
        <v>327.759</v>
      </c>
      <c r="BP55" s="63">
        <f t="shared" si="66"/>
        <v>0</v>
      </c>
      <c r="BQ55" s="63">
        <f t="shared" si="67"/>
        <v>20.512019302355384</v>
      </c>
      <c r="BR55" s="67">
        <f t="shared" si="68"/>
        <v>34.790963136607154</v>
      </c>
      <c r="BS55" s="69">
        <f ca="1" t="shared" si="97"/>
        <v>0.9</v>
      </c>
      <c r="BT55" s="66">
        <f ca="1" t="shared" si="69"/>
        <v>294.98310000000004</v>
      </c>
      <c r="BU55" s="66">
        <f ca="1" t="shared" si="70"/>
        <v>294.98310000000004</v>
      </c>
      <c r="BV55" s="66">
        <f ca="1" t="shared" si="71"/>
        <v>0</v>
      </c>
      <c r="BW55" s="63">
        <f ca="1" t="shared" si="72"/>
        <v>53.28791930235536</v>
      </c>
      <c r="BX55" s="67">
        <f ca="1" t="shared" si="98"/>
        <v>35.05800570624853</v>
      </c>
      <c r="BY55" s="65">
        <f ca="1" t="shared" si="73"/>
        <v>0.007675630266193778</v>
      </c>
      <c r="BZ55" s="68">
        <f ca="1" t="shared" si="99"/>
        <v>0.0042679417534727815</v>
      </c>
      <c r="CA55" s="81">
        <f t="shared" si="74"/>
        <v>327.759</v>
      </c>
      <c r="CB55" s="63">
        <f t="shared" si="75"/>
        <v>327.759</v>
      </c>
      <c r="CC55" s="67">
        <f t="shared" si="76"/>
        <v>35.90132553133049</v>
      </c>
      <c r="CD55" s="69">
        <f ca="1" t="shared" si="100"/>
        <v>0.9</v>
      </c>
      <c r="CE55" s="190">
        <f ca="1" t="shared" si="77"/>
        <v>294.98310000000004</v>
      </c>
      <c r="CF55" s="70">
        <f ca="1" t="shared" si="78"/>
        <v>294.98310000000004</v>
      </c>
      <c r="CG55" s="67">
        <f ca="1" t="shared" si="79"/>
        <v>39.30481757441425</v>
      </c>
      <c r="CH55" s="65">
        <f ca="1" t="shared" si="80"/>
        <v>0.09480129194989151</v>
      </c>
      <c r="CI55" s="65">
        <f ca="1" t="shared" si="101"/>
        <v>0.1259216675698518</v>
      </c>
      <c r="CJ55" s="68">
        <f ca="1" t="shared" si="81"/>
        <v>0.12113672134546993</v>
      </c>
      <c r="CL55" s="97">
        <f ca="1" t="shared" si="102"/>
        <v>90206711.2293913</v>
      </c>
      <c r="CM55" s="97">
        <f ca="1" t="shared" si="103"/>
        <v>94008619.2327422</v>
      </c>
      <c r="CN55" s="97">
        <f ca="1" t="shared" si="104"/>
        <v>90591708.2186907</v>
      </c>
      <c r="CO55" s="97">
        <f ca="1" t="shared" si="82"/>
        <v>101565690.73338833</v>
      </c>
      <c r="CQ55" s="97">
        <f t="shared" si="105"/>
        <v>99841049.47380623</v>
      </c>
      <c r="CR55" s="97">
        <f t="shared" si="106"/>
        <v>102145809.38296007</v>
      </c>
      <c r="CS55" s="97">
        <f t="shared" si="107"/>
        <v>99890729.27141513</v>
      </c>
      <c r="CT55" s="97">
        <f t="shared" si="83"/>
        <v>103078767.18025257</v>
      </c>
      <c r="CV55" s="97">
        <f ca="1" t="shared" si="108"/>
        <v>90206711.22939129</v>
      </c>
      <c r="CW55" s="97">
        <f ca="1" t="shared" si="84"/>
        <v>94008619.23274222</v>
      </c>
      <c r="CX55" s="97">
        <f ca="1" t="shared" si="85"/>
        <v>94008619.23274222</v>
      </c>
      <c r="CY55" s="97">
        <f ca="1" t="shared" si="86"/>
        <v>101565690.73338833</v>
      </c>
    </row>
    <row r="56" spans="2:103" ht="12.75">
      <c r="B56" s="14">
        <v>10105</v>
      </c>
      <c r="C56" s="15" t="s">
        <v>55</v>
      </c>
      <c r="D56" s="16">
        <f>RHWM!D43</f>
        <v>1</v>
      </c>
      <c r="E56" s="16">
        <f>RHWM!E43</f>
        <v>0</v>
      </c>
      <c r="F56" s="18">
        <f>RHWM!M43</f>
        <v>83.881</v>
      </c>
      <c r="G56" s="18">
        <f>RHWM!N43</f>
        <v>82.632</v>
      </c>
      <c r="H56" s="18">
        <f>RHWM!O43</f>
        <v>92.838</v>
      </c>
      <c r="I56" s="18">
        <v>0</v>
      </c>
      <c r="J56" s="18">
        <v>0</v>
      </c>
      <c r="K56" s="18">
        <v>0</v>
      </c>
      <c r="L56" s="18">
        <v>0</v>
      </c>
      <c r="M56" s="18">
        <v>0</v>
      </c>
      <c r="N56" s="18">
        <v>0</v>
      </c>
      <c r="O56" s="81">
        <f t="shared" si="28"/>
        <v>92.838</v>
      </c>
      <c r="P56" s="63">
        <f t="shared" si="29"/>
        <v>82.632</v>
      </c>
      <c r="Q56" s="63">
        <f t="shared" si="30"/>
        <v>82.632</v>
      </c>
      <c r="R56" s="63">
        <f t="shared" si="31"/>
        <v>0</v>
      </c>
      <c r="S56" s="63">
        <f t="shared" si="32"/>
        <v>10.205999999999989</v>
      </c>
      <c r="T56" s="67">
        <f t="shared" si="87"/>
        <v>33.949064274110405</v>
      </c>
      <c r="U56" s="138">
        <f ca="1" t="shared" si="88"/>
        <v>0.94</v>
      </c>
      <c r="V56" s="66">
        <f ca="1" t="shared" si="89"/>
        <v>77.67408</v>
      </c>
      <c r="W56" s="66">
        <f ca="1" t="shared" si="33"/>
        <v>77.67408</v>
      </c>
      <c r="X56" s="66">
        <f ca="1" t="shared" si="34"/>
        <v>0</v>
      </c>
      <c r="Y56" s="63">
        <f ca="1" t="shared" si="35"/>
        <v>15.16391999999999</v>
      </c>
      <c r="Z56" s="67">
        <f ca="1" t="shared" si="90"/>
        <v>34.90901605903751</v>
      </c>
      <c r="AA56" s="68">
        <f ca="1" t="shared" si="91"/>
        <v>0.028276236928838294</v>
      </c>
      <c r="AB56" s="169">
        <f t="shared" si="36"/>
        <v>82.632</v>
      </c>
      <c r="AC56" s="169">
        <f t="shared" si="37"/>
        <v>82.632</v>
      </c>
      <c r="AD56" s="169">
        <v>0</v>
      </c>
      <c r="AE56" s="171">
        <f t="shared" si="38"/>
        <v>0</v>
      </c>
      <c r="AF56" s="182">
        <v>0</v>
      </c>
      <c r="AG56" s="182">
        <f t="shared" si="39"/>
        <v>0</v>
      </c>
      <c r="AH56" s="182">
        <f t="shared" si="40"/>
        <v>0</v>
      </c>
      <c r="AI56" s="182">
        <v>0</v>
      </c>
      <c r="AJ56" s="171">
        <f t="shared" si="41"/>
        <v>0</v>
      </c>
      <c r="AK56" s="171">
        <f t="shared" si="42"/>
        <v>82.632</v>
      </c>
      <c r="AL56" s="171">
        <f t="shared" si="43"/>
        <v>5.273410408225288</v>
      </c>
      <c r="AM56" s="171">
        <f t="shared" si="44"/>
        <v>87.9054104082253</v>
      </c>
      <c r="AN56" s="81">
        <f t="shared" si="45"/>
        <v>87.9054104082253</v>
      </c>
      <c r="AO56" s="63">
        <f t="shared" si="46"/>
        <v>82.632</v>
      </c>
      <c r="AP56" s="63">
        <f t="shared" si="47"/>
        <v>82.632</v>
      </c>
      <c r="AQ56" s="63">
        <f t="shared" si="48"/>
        <v>0</v>
      </c>
      <c r="AR56" s="63">
        <f t="shared" si="49"/>
        <v>5.273410408225288</v>
      </c>
      <c r="AS56" s="67">
        <f t="shared" si="92"/>
        <v>35.5763854636149</v>
      </c>
      <c r="AT56" s="65">
        <f ca="1" t="shared" si="93"/>
        <v>0.94</v>
      </c>
      <c r="AU56" s="66">
        <f ca="1" t="shared" si="50"/>
        <v>77.67408</v>
      </c>
      <c r="AV56" s="66">
        <f ca="1" t="shared" si="51"/>
        <v>77.67408</v>
      </c>
      <c r="AW56" s="66">
        <f ca="1" t="shared" si="52"/>
        <v>0</v>
      </c>
      <c r="AX56" s="63">
        <f ca="1" t="shared" si="53"/>
        <v>10.23133040822529</v>
      </c>
      <c r="AY56" s="67">
        <f ca="1" t="shared" si="94"/>
        <v>36.38031310262951</v>
      </c>
      <c r="AZ56" s="65">
        <f ca="1" t="shared" si="54"/>
        <v>0.0225972264618286</v>
      </c>
      <c r="BA56" s="68">
        <f ca="1" t="shared" si="95"/>
        <v>0.0421466202629075</v>
      </c>
      <c r="BB56" s="169">
        <f t="shared" si="55"/>
        <v>82.632</v>
      </c>
      <c r="BC56" s="169">
        <f t="shared" si="56"/>
        <v>82.632</v>
      </c>
      <c r="BD56" s="169">
        <v>0</v>
      </c>
      <c r="BE56" s="171">
        <f t="shared" si="57"/>
        <v>0</v>
      </c>
      <c r="BF56" s="182">
        <v>0</v>
      </c>
      <c r="BG56" s="182">
        <f t="shared" si="58"/>
        <v>0</v>
      </c>
      <c r="BH56" s="182">
        <f t="shared" si="59"/>
        <v>0</v>
      </c>
      <c r="BI56" s="169">
        <f t="shared" si="60"/>
        <v>0</v>
      </c>
      <c r="BJ56" s="171">
        <f t="shared" si="61"/>
        <v>82.632</v>
      </c>
      <c r="BK56" s="171">
        <f t="shared" si="62"/>
        <v>1.5854090143672</v>
      </c>
      <c r="BL56" s="171">
        <f t="shared" si="63"/>
        <v>84.2174090143672</v>
      </c>
      <c r="BM56" s="81">
        <f t="shared" si="64"/>
        <v>84.2174090143672</v>
      </c>
      <c r="BN56" s="63">
        <f t="shared" si="96"/>
        <v>82.632</v>
      </c>
      <c r="BO56" s="63">
        <f t="shared" si="65"/>
        <v>82.632</v>
      </c>
      <c r="BP56" s="63">
        <f t="shared" si="66"/>
        <v>0</v>
      </c>
      <c r="BQ56" s="63">
        <f t="shared" si="67"/>
        <v>1.585409014367201</v>
      </c>
      <c r="BR56" s="67">
        <f t="shared" si="68"/>
        <v>34.790963136607154</v>
      </c>
      <c r="BS56" s="69">
        <f ca="1" t="shared" si="97"/>
        <v>0.94</v>
      </c>
      <c r="BT56" s="66">
        <f ca="1" t="shared" si="69"/>
        <v>77.67408</v>
      </c>
      <c r="BU56" s="66">
        <f ca="1" t="shared" si="70"/>
        <v>77.67408</v>
      </c>
      <c r="BV56" s="66">
        <f ca="1" t="shared" si="71"/>
        <v>0</v>
      </c>
      <c r="BW56" s="63">
        <f ca="1" t="shared" si="72"/>
        <v>6.5433290143672025</v>
      </c>
      <c r="BX56" s="67">
        <f ca="1" t="shared" si="98"/>
        <v>35.05800570624853</v>
      </c>
      <c r="BY56" s="65">
        <f ca="1" t="shared" si="73"/>
        <v>0.007675630266193778</v>
      </c>
      <c r="BZ56" s="68">
        <f ca="1" t="shared" si="99"/>
        <v>0.0042679417534727815</v>
      </c>
      <c r="CA56" s="81">
        <f t="shared" si="74"/>
        <v>82.632</v>
      </c>
      <c r="CB56" s="63">
        <f t="shared" si="75"/>
        <v>82.632</v>
      </c>
      <c r="CC56" s="67">
        <f t="shared" si="76"/>
        <v>35.90132553133049</v>
      </c>
      <c r="CD56" s="69">
        <f ca="1" t="shared" si="100"/>
        <v>0.94</v>
      </c>
      <c r="CE56" s="190">
        <f ca="1" t="shared" si="77"/>
        <v>77.67408</v>
      </c>
      <c r="CF56" s="70">
        <f ca="1" t="shared" si="78"/>
        <v>77.67408</v>
      </c>
      <c r="CG56" s="67">
        <f ca="1" t="shared" si="79"/>
        <v>39.30481757441425</v>
      </c>
      <c r="CH56" s="65">
        <f ca="1" t="shared" si="80"/>
        <v>0.09480129194989151</v>
      </c>
      <c r="CI56" s="65">
        <f ca="1" t="shared" si="101"/>
        <v>0.1259216675698518</v>
      </c>
      <c r="CJ56" s="68">
        <f ca="1" t="shared" si="81"/>
        <v>0.12113672134546993</v>
      </c>
      <c r="CL56" s="97">
        <f ca="1" t="shared" si="102"/>
        <v>23752965.185356848</v>
      </c>
      <c r="CM56" s="97">
        <f ca="1" t="shared" si="103"/>
        <v>24754072.38914215</v>
      </c>
      <c r="CN56" s="97">
        <f ca="1" t="shared" si="104"/>
        <v>23854341.45724022</v>
      </c>
      <c r="CO56" s="97">
        <f ca="1" t="shared" si="82"/>
        <v>26743978.17122562</v>
      </c>
      <c r="CQ56" s="97">
        <f t="shared" si="105"/>
        <v>24574244.732901033</v>
      </c>
      <c r="CR56" s="97">
        <f t="shared" si="106"/>
        <v>25752191.460593775</v>
      </c>
      <c r="CS56" s="97">
        <f t="shared" si="107"/>
        <v>25183658.545320112</v>
      </c>
      <c r="CT56" s="97">
        <f t="shared" si="83"/>
        <v>25987401.382230937</v>
      </c>
      <c r="CV56" s="97">
        <f ca="1" t="shared" si="108"/>
        <v>23752965.185356848</v>
      </c>
      <c r="CW56" s="97">
        <f ca="1" t="shared" si="84"/>
        <v>24754072.38914215</v>
      </c>
      <c r="CX56" s="97">
        <f ca="1" t="shared" si="85"/>
        <v>24754072.38914215</v>
      </c>
      <c r="CY56" s="97">
        <f ca="1" t="shared" si="86"/>
        <v>26743978.17122562</v>
      </c>
    </row>
    <row r="57" spans="2:103" ht="12.75">
      <c r="B57" s="14">
        <v>10106</v>
      </c>
      <c r="C57" s="15" t="s">
        <v>56</v>
      </c>
      <c r="D57" s="16">
        <f>RHWM!D44</f>
        <v>0</v>
      </c>
      <c r="E57" s="16">
        <f>RHWM!E44</f>
        <v>1</v>
      </c>
      <c r="F57" s="18">
        <f>RHWM!M44</f>
        <v>24.13</v>
      </c>
      <c r="G57" s="18">
        <f>RHWM!N44</f>
        <v>24.235</v>
      </c>
      <c r="H57" s="18">
        <f>RHWM!O44</f>
        <v>23.879</v>
      </c>
      <c r="I57" s="18">
        <v>0.251</v>
      </c>
      <c r="J57" s="18">
        <v>0.356</v>
      </c>
      <c r="K57" s="18">
        <v>0</v>
      </c>
      <c r="L57" s="18">
        <v>0</v>
      </c>
      <c r="M57" s="18">
        <v>0.251</v>
      </c>
      <c r="N57" s="18">
        <v>0.356</v>
      </c>
      <c r="O57" s="81">
        <f t="shared" si="28"/>
        <v>23.879</v>
      </c>
      <c r="P57" s="63">
        <f t="shared" si="29"/>
        <v>24.235</v>
      </c>
      <c r="Q57" s="63">
        <f t="shared" si="30"/>
        <v>23.879</v>
      </c>
      <c r="R57" s="63">
        <f t="shared" si="31"/>
        <v>0.3559999999999981</v>
      </c>
      <c r="S57" s="63">
        <f t="shared" si="32"/>
        <v>0</v>
      </c>
      <c r="T57" s="67">
        <f t="shared" si="87"/>
        <v>34.377570695336594</v>
      </c>
      <c r="U57" s="138">
        <f ca="1" t="shared" si="88"/>
        <v>1.33</v>
      </c>
      <c r="V57" s="66">
        <f ca="1" t="shared" si="89"/>
        <v>32.23255</v>
      </c>
      <c r="W57" s="66">
        <f ca="1" t="shared" si="33"/>
        <v>23.879</v>
      </c>
      <c r="X57" s="66">
        <f ca="1" t="shared" si="34"/>
        <v>8.353550000000002</v>
      </c>
      <c r="Y57" s="63">
        <f ca="1" t="shared" si="35"/>
        <v>0</v>
      </c>
      <c r="Z57" s="67">
        <f ca="1" t="shared" si="90"/>
        <v>42.2203167442153</v>
      </c>
      <c r="AA57" s="68">
        <f ca="1" t="shared" si="91"/>
        <v>0.2281355514728851</v>
      </c>
      <c r="AB57" s="169">
        <f t="shared" si="36"/>
        <v>23.879</v>
      </c>
      <c r="AC57" s="169">
        <f t="shared" si="37"/>
        <v>23.879</v>
      </c>
      <c r="AD57" s="169">
        <v>0</v>
      </c>
      <c r="AE57" s="171">
        <f t="shared" si="38"/>
        <v>0</v>
      </c>
      <c r="AF57" s="182">
        <v>0</v>
      </c>
      <c r="AG57" s="182">
        <f t="shared" si="39"/>
        <v>0</v>
      </c>
      <c r="AH57" s="182">
        <f t="shared" si="40"/>
        <v>0</v>
      </c>
      <c r="AI57" s="182">
        <v>0</v>
      </c>
      <c r="AJ57" s="171">
        <f t="shared" si="41"/>
        <v>0.17799999999999905</v>
      </c>
      <c r="AK57" s="171">
        <f t="shared" si="42"/>
        <v>24.057000000000002</v>
      </c>
      <c r="AL57" s="171">
        <f t="shared" si="43"/>
        <v>1.5352700429697426</v>
      </c>
      <c r="AM57" s="171">
        <f t="shared" si="44"/>
        <v>25.592270042969744</v>
      </c>
      <c r="AN57" s="81">
        <f t="shared" si="45"/>
        <v>25.592270042969744</v>
      </c>
      <c r="AO57" s="63">
        <f t="shared" si="46"/>
        <v>24.235</v>
      </c>
      <c r="AP57" s="63">
        <f t="shared" si="47"/>
        <v>24.235</v>
      </c>
      <c r="AQ57" s="63">
        <f t="shared" si="48"/>
        <v>0</v>
      </c>
      <c r="AR57" s="63">
        <f t="shared" si="49"/>
        <v>1.3572700429697448</v>
      </c>
      <c r="AS57" s="67">
        <f t="shared" si="92"/>
        <v>35.5763854636149</v>
      </c>
      <c r="AT57" s="65">
        <f ca="1" t="shared" si="93"/>
        <v>1.33</v>
      </c>
      <c r="AU57" s="66">
        <f ca="1" t="shared" si="50"/>
        <v>32.23255</v>
      </c>
      <c r="AV57" s="66">
        <f ca="1" t="shared" si="51"/>
        <v>25.592270042969744</v>
      </c>
      <c r="AW57" s="66">
        <f ca="1" t="shared" si="52"/>
        <v>6.640279957030259</v>
      </c>
      <c r="AX57" s="63">
        <f ca="1" t="shared" si="53"/>
        <v>0</v>
      </c>
      <c r="AY57" s="67">
        <f ca="1" t="shared" si="94"/>
        <v>41.888999413885486</v>
      </c>
      <c r="AZ57" s="65">
        <f ca="1" t="shared" si="54"/>
        <v>0.17743831668134757</v>
      </c>
      <c r="BA57" s="68">
        <f ca="1" t="shared" si="95"/>
        <v>-0.007847343551140251</v>
      </c>
      <c r="BB57" s="169">
        <f t="shared" si="55"/>
        <v>23.879</v>
      </c>
      <c r="BC57" s="169">
        <f t="shared" si="56"/>
        <v>23.879</v>
      </c>
      <c r="BD57" s="169">
        <v>0</v>
      </c>
      <c r="BE57" s="171">
        <f t="shared" si="57"/>
        <v>0</v>
      </c>
      <c r="BF57" s="182">
        <v>0</v>
      </c>
      <c r="BG57" s="182">
        <f t="shared" si="58"/>
        <v>0</v>
      </c>
      <c r="BH57" s="182">
        <f t="shared" si="59"/>
        <v>0</v>
      </c>
      <c r="BI57" s="169">
        <f t="shared" si="60"/>
        <v>0.08899999999999952</v>
      </c>
      <c r="BJ57" s="171">
        <f t="shared" si="61"/>
        <v>23.968</v>
      </c>
      <c r="BK57" s="171">
        <f t="shared" si="62"/>
        <v>0.4598591738836413</v>
      </c>
      <c r="BL57" s="171">
        <f t="shared" si="63"/>
        <v>24.42785917388364</v>
      </c>
      <c r="BM57" s="81">
        <f t="shared" si="64"/>
        <v>24.42785917388364</v>
      </c>
      <c r="BN57" s="63">
        <f t="shared" si="96"/>
        <v>24.235</v>
      </c>
      <c r="BO57" s="63">
        <f t="shared" si="65"/>
        <v>24.235</v>
      </c>
      <c r="BP57" s="63">
        <f t="shared" si="66"/>
        <v>0</v>
      </c>
      <c r="BQ57" s="63">
        <f t="shared" si="67"/>
        <v>0.19285917388364027</v>
      </c>
      <c r="BR57" s="67">
        <f t="shared" si="68"/>
        <v>34.790963136607154</v>
      </c>
      <c r="BS57" s="69">
        <f ca="1" t="shared" si="97"/>
        <v>1.33</v>
      </c>
      <c r="BT57" s="66">
        <f ca="1" t="shared" si="69"/>
        <v>32.23255</v>
      </c>
      <c r="BU57" s="66">
        <f ca="1" t="shared" si="70"/>
        <v>24.42785917388364</v>
      </c>
      <c r="BV57" s="66">
        <f ca="1" t="shared" si="71"/>
        <v>7.804690826116364</v>
      </c>
      <c r="BW57" s="63">
        <f ca="1" t="shared" si="72"/>
        <v>0</v>
      </c>
      <c r="BX57" s="67">
        <f ca="1" t="shared" si="98"/>
        <v>41.852850961339165</v>
      </c>
      <c r="BY57" s="65">
        <f ca="1" t="shared" si="73"/>
        <v>0.20298052103367814</v>
      </c>
      <c r="BZ57" s="68">
        <f ca="1" t="shared" si="99"/>
        <v>-0.008703529750910377</v>
      </c>
      <c r="CA57" s="81">
        <f t="shared" si="74"/>
        <v>24.235</v>
      </c>
      <c r="CB57" s="63">
        <f t="shared" si="75"/>
        <v>24.235</v>
      </c>
      <c r="CC57" s="67">
        <f t="shared" si="76"/>
        <v>35.90132553133049</v>
      </c>
      <c r="CD57" s="69">
        <f ca="1" t="shared" si="100"/>
        <v>1.33</v>
      </c>
      <c r="CE57" s="190">
        <f ca="1" t="shared" si="77"/>
        <v>32.23255</v>
      </c>
      <c r="CF57" s="70">
        <f ca="1" t="shared" si="78"/>
        <v>32.23255</v>
      </c>
      <c r="CG57" s="67">
        <f ca="1" t="shared" si="79"/>
        <v>39.30481757441425</v>
      </c>
      <c r="CH57" s="65">
        <f ca="1" t="shared" si="80"/>
        <v>0.09480129194989151</v>
      </c>
      <c r="CI57" s="65">
        <f ca="1" t="shared" si="101"/>
        <v>-0.06905441253470723</v>
      </c>
      <c r="CJ57" s="68">
        <f ca="1" t="shared" si="81"/>
        <v>-0.06088076029225853</v>
      </c>
      <c r="CL57" s="97">
        <f ca="1" t="shared" si="102"/>
        <v>11921207.801350111</v>
      </c>
      <c r="CM57" s="97">
        <f ca="1" t="shared" si="103"/>
        <v>11827657.988188386</v>
      </c>
      <c r="CN57" s="97">
        <f ca="1" t="shared" si="104"/>
        <v>11817451.214584278</v>
      </c>
      <c r="CO57" s="97">
        <f ca="1" t="shared" si="82"/>
        <v>11097995.79992371</v>
      </c>
      <c r="CQ57" s="97">
        <f t="shared" si="105"/>
        <v>7298310.130020984</v>
      </c>
      <c r="CR57" s="97">
        <f t="shared" si="106"/>
        <v>7552816.826985794</v>
      </c>
      <c r="CS57" s="97">
        <f t="shared" si="107"/>
        <v>7386072.766553308</v>
      </c>
      <c r="CT57" s="97">
        <f t="shared" si="83"/>
        <v>7621801.14844572</v>
      </c>
      <c r="CV57" s="97">
        <f ca="1" t="shared" si="108"/>
        <v>11921207.801350113</v>
      </c>
      <c r="CW57" s="97">
        <f ca="1" t="shared" si="84"/>
        <v>11827657.988188386</v>
      </c>
      <c r="CX57" s="97">
        <f ca="1" t="shared" si="85"/>
        <v>11827657.988188386</v>
      </c>
      <c r="CY57" s="97">
        <f ca="1" t="shared" si="86"/>
        <v>11097995.79992371</v>
      </c>
    </row>
    <row r="58" spans="2:103" ht="12.75">
      <c r="B58" s="14">
        <v>10109</v>
      </c>
      <c r="C58" s="15" t="s">
        <v>57</v>
      </c>
      <c r="D58" s="16">
        <f>RHWM!D45</f>
        <v>1</v>
      </c>
      <c r="E58" s="16">
        <f>RHWM!E45</f>
        <v>0</v>
      </c>
      <c r="F58" s="18">
        <f>RHWM!M45</f>
        <v>14.834</v>
      </c>
      <c r="G58" s="18">
        <f>RHWM!N45</f>
        <v>15.006</v>
      </c>
      <c r="H58" s="18">
        <f>RHWM!O45</f>
        <v>12.118</v>
      </c>
      <c r="I58" s="18">
        <v>2.716</v>
      </c>
      <c r="J58" s="18">
        <v>2.888</v>
      </c>
      <c r="K58" s="18">
        <v>0</v>
      </c>
      <c r="L58" s="18">
        <v>0</v>
      </c>
      <c r="M58" s="18">
        <v>2.716</v>
      </c>
      <c r="N58" s="18">
        <v>2.888</v>
      </c>
      <c r="O58" s="81">
        <f t="shared" si="28"/>
        <v>12.118</v>
      </c>
      <c r="P58" s="63">
        <f t="shared" si="29"/>
        <v>15.006</v>
      </c>
      <c r="Q58" s="63">
        <f t="shared" si="30"/>
        <v>12.118</v>
      </c>
      <c r="R58" s="63">
        <f t="shared" si="31"/>
        <v>2.888</v>
      </c>
      <c r="S58" s="63">
        <f t="shared" si="32"/>
        <v>0</v>
      </c>
      <c r="T58" s="67">
        <f t="shared" si="87"/>
        <v>39.56319611313274</v>
      </c>
      <c r="U58" s="138">
        <f ca="1" t="shared" si="88"/>
        <v>0.97</v>
      </c>
      <c r="V58" s="66">
        <f ca="1" t="shared" si="89"/>
        <v>14.55582</v>
      </c>
      <c r="W58" s="66">
        <f ca="1" t="shared" si="33"/>
        <v>12.118</v>
      </c>
      <c r="X58" s="66">
        <f ca="1" t="shared" si="34"/>
        <v>2.4378200000000003</v>
      </c>
      <c r="Y58" s="63">
        <f ca="1" t="shared" si="35"/>
        <v>0</v>
      </c>
      <c r="Z58" s="67">
        <f ca="1" t="shared" si="90"/>
        <v>39.633813485150036</v>
      </c>
      <c r="AA58" s="68">
        <f ca="1" t="shared" si="91"/>
        <v>0.0017849258643150012</v>
      </c>
      <c r="AB58" s="169">
        <f t="shared" si="36"/>
        <v>12.118</v>
      </c>
      <c r="AC58" s="169">
        <f t="shared" si="37"/>
        <v>12.118</v>
      </c>
      <c r="AD58" s="169">
        <v>0.05399999999999999</v>
      </c>
      <c r="AE58" s="171">
        <f t="shared" si="38"/>
        <v>0.026999999999999996</v>
      </c>
      <c r="AF58" s="182">
        <v>0</v>
      </c>
      <c r="AG58" s="182">
        <f t="shared" si="39"/>
        <v>0</v>
      </c>
      <c r="AH58" s="182">
        <f t="shared" si="40"/>
        <v>0</v>
      </c>
      <c r="AI58" s="182">
        <v>0</v>
      </c>
      <c r="AJ58" s="171">
        <f t="shared" si="41"/>
        <v>1.444</v>
      </c>
      <c r="AK58" s="171">
        <f t="shared" si="42"/>
        <v>13.588999999999999</v>
      </c>
      <c r="AL58" s="171">
        <f t="shared" si="43"/>
        <v>0.8672230375323535</v>
      </c>
      <c r="AM58" s="171">
        <f t="shared" si="44"/>
        <v>14.456223037532352</v>
      </c>
      <c r="AN58" s="81">
        <f t="shared" si="45"/>
        <v>14.456223037532352</v>
      </c>
      <c r="AO58" s="63">
        <f t="shared" si="46"/>
        <v>15.006</v>
      </c>
      <c r="AP58" s="63">
        <f t="shared" si="47"/>
        <v>14.456223037532352</v>
      </c>
      <c r="AQ58" s="63">
        <f t="shared" si="48"/>
        <v>0.5497769624676483</v>
      </c>
      <c r="AR58" s="63">
        <f t="shared" si="49"/>
        <v>0</v>
      </c>
      <c r="AS58" s="67">
        <f t="shared" si="92"/>
        <v>36.58550479822729</v>
      </c>
      <c r="AT58" s="65">
        <f ca="1" t="shared" si="93"/>
        <v>0.97</v>
      </c>
      <c r="AU58" s="66">
        <f ca="1" t="shared" si="50"/>
        <v>14.55582</v>
      </c>
      <c r="AV58" s="66">
        <f ca="1" t="shared" si="51"/>
        <v>14.456223037532352</v>
      </c>
      <c r="AW58" s="66">
        <f ca="1" t="shared" si="52"/>
        <v>0.09959696246764871</v>
      </c>
      <c r="AX58" s="63">
        <f ca="1" t="shared" si="53"/>
        <v>0</v>
      </c>
      <c r="AY58" s="67">
        <f ca="1" t="shared" si="94"/>
        <v>36.56327713985408</v>
      </c>
      <c r="AZ58" s="65">
        <f ca="1" t="shared" si="54"/>
        <v>-0.0006075536881560151</v>
      </c>
      <c r="BA58" s="68">
        <f ca="1" t="shared" si="95"/>
        <v>-0.07747264457522918</v>
      </c>
      <c r="BB58" s="169">
        <f t="shared" si="55"/>
        <v>12.118</v>
      </c>
      <c r="BC58" s="169">
        <f t="shared" si="56"/>
        <v>12.118</v>
      </c>
      <c r="BD58" s="169">
        <v>0.05399999999999999</v>
      </c>
      <c r="BE58" s="171">
        <f t="shared" si="57"/>
        <v>0.026999999999999996</v>
      </c>
      <c r="BF58" s="182">
        <v>0</v>
      </c>
      <c r="BG58" s="182">
        <f t="shared" si="58"/>
        <v>0</v>
      </c>
      <c r="BH58" s="182">
        <f t="shared" si="59"/>
        <v>0</v>
      </c>
      <c r="BI58" s="169">
        <f t="shared" si="60"/>
        <v>0.722</v>
      </c>
      <c r="BJ58" s="171">
        <f t="shared" si="61"/>
        <v>12.866999999999999</v>
      </c>
      <c r="BK58" s="171">
        <f t="shared" si="62"/>
        <v>0.2468711611465626</v>
      </c>
      <c r="BL58" s="171">
        <f t="shared" si="63"/>
        <v>13.113871161146562</v>
      </c>
      <c r="BM58" s="81">
        <f t="shared" si="64"/>
        <v>13.113871161146562</v>
      </c>
      <c r="BN58" s="63">
        <f t="shared" si="96"/>
        <v>15.006</v>
      </c>
      <c r="BO58" s="63">
        <f t="shared" si="65"/>
        <v>13.113871161146562</v>
      </c>
      <c r="BP58" s="63">
        <f t="shared" si="66"/>
        <v>1.8921288388534379</v>
      </c>
      <c r="BQ58" s="63">
        <f t="shared" si="67"/>
        <v>0</v>
      </c>
      <c r="BR58" s="67">
        <f t="shared" si="68"/>
        <v>38.36301349154303</v>
      </c>
      <c r="BS58" s="69">
        <f ca="1" t="shared" si="97"/>
        <v>0.97</v>
      </c>
      <c r="BT58" s="66">
        <f ca="1" t="shared" si="69"/>
        <v>14.55582</v>
      </c>
      <c r="BU58" s="66">
        <f ca="1" t="shared" si="70"/>
        <v>13.113871161146562</v>
      </c>
      <c r="BV58" s="66">
        <f ca="1" t="shared" si="71"/>
        <v>1.4419488388534383</v>
      </c>
      <c r="BW58" s="63">
        <f ca="1" t="shared" si="72"/>
        <v>0</v>
      </c>
      <c r="BX58" s="67">
        <f ca="1" t="shared" si="98"/>
        <v>37.837921924488846</v>
      </c>
      <c r="BY58" s="65">
        <f ca="1" t="shared" si="73"/>
        <v>-0.013687443171531255</v>
      </c>
      <c r="BZ58" s="68">
        <f ca="1" t="shared" si="99"/>
        <v>-0.04531210607160152</v>
      </c>
      <c r="CA58" s="81">
        <f t="shared" si="74"/>
        <v>15.006</v>
      </c>
      <c r="CB58" s="63">
        <f t="shared" si="75"/>
        <v>15.006</v>
      </c>
      <c r="CC58" s="67">
        <f t="shared" si="76"/>
        <v>35.90132553133049</v>
      </c>
      <c r="CD58" s="69">
        <f ca="1" t="shared" si="100"/>
        <v>0.97</v>
      </c>
      <c r="CE58" s="190">
        <f ca="1" t="shared" si="77"/>
        <v>14.55582</v>
      </c>
      <c r="CF58" s="70">
        <f ca="1" t="shared" si="78"/>
        <v>14.55582</v>
      </c>
      <c r="CG58" s="67">
        <f ca="1" t="shared" si="79"/>
        <v>39.30481757441425</v>
      </c>
      <c r="CH58" s="65">
        <f ca="1" t="shared" si="80"/>
        <v>0.09480129194989151</v>
      </c>
      <c r="CI58" s="65">
        <f ca="1" t="shared" si="101"/>
        <v>-0.008300889614345386</v>
      </c>
      <c r="CJ58" s="68">
        <f ca="1" t="shared" si="81"/>
        <v>0.03876787030886142</v>
      </c>
      <c r="CL58" s="97">
        <f ca="1" t="shared" si="102"/>
        <v>5053667.257829929</v>
      </c>
      <c r="CM58" s="97">
        <f ca="1" t="shared" si="103"/>
        <v>4662146.290562597</v>
      </c>
      <c r="CN58" s="97">
        <f ca="1" t="shared" si="104"/>
        <v>4824674.95099256</v>
      </c>
      <c r="CO58" s="97">
        <f ca="1" t="shared" si="82"/>
        <v>5011717.323775052</v>
      </c>
      <c r="CQ58" s="97">
        <f t="shared" si="105"/>
        <v>5200683.410853349</v>
      </c>
      <c r="CR58" s="97">
        <f t="shared" si="106"/>
        <v>4809258.264619261</v>
      </c>
      <c r="CS58" s="97">
        <f t="shared" si="107"/>
        <v>5042916.33277787</v>
      </c>
      <c r="CT58" s="97">
        <f t="shared" si="83"/>
        <v>4719321.148486753</v>
      </c>
      <c r="CV58" s="97">
        <f ca="1" t="shared" si="108"/>
        <v>5053667.25782993</v>
      </c>
      <c r="CW58" s="97">
        <f ca="1" t="shared" si="84"/>
        <v>4662146.290562598</v>
      </c>
      <c r="CX58" s="97">
        <f ca="1" t="shared" si="85"/>
        <v>4662146.290562598</v>
      </c>
      <c r="CY58" s="97">
        <f ca="1" t="shared" si="86"/>
        <v>5011717.323775051</v>
      </c>
    </row>
    <row r="59" spans="2:103" ht="12.75">
      <c r="B59" s="14">
        <v>10111</v>
      </c>
      <c r="C59" s="15" t="s">
        <v>58</v>
      </c>
      <c r="D59" s="16">
        <f>RHWM!D46</f>
        <v>1</v>
      </c>
      <c r="E59" s="16">
        <f>RHWM!E46</f>
        <v>0</v>
      </c>
      <c r="F59" s="18">
        <f>RHWM!M46</f>
        <v>3.137</v>
      </c>
      <c r="G59" s="18">
        <f>RHWM!N46</f>
        <v>3.14</v>
      </c>
      <c r="H59" s="18">
        <f>RHWM!O46</f>
        <v>3.235</v>
      </c>
      <c r="I59" s="18">
        <v>0</v>
      </c>
      <c r="J59" s="18">
        <v>0</v>
      </c>
      <c r="K59" s="18">
        <v>0</v>
      </c>
      <c r="L59" s="18">
        <v>0</v>
      </c>
      <c r="M59" s="18">
        <v>0</v>
      </c>
      <c r="N59" s="18">
        <v>0</v>
      </c>
      <c r="O59" s="81">
        <f t="shared" si="28"/>
        <v>3.235</v>
      </c>
      <c r="P59" s="63">
        <f t="shared" si="29"/>
        <v>3.14</v>
      </c>
      <c r="Q59" s="63">
        <f t="shared" si="30"/>
        <v>3.14</v>
      </c>
      <c r="R59" s="63">
        <f t="shared" si="31"/>
        <v>0</v>
      </c>
      <c r="S59" s="63">
        <f t="shared" si="32"/>
        <v>0.09499999999999975</v>
      </c>
      <c r="T59" s="67">
        <f t="shared" si="87"/>
        <v>33.949064274110405</v>
      </c>
      <c r="U59" s="138">
        <f ca="1" t="shared" si="88"/>
        <v>1.27</v>
      </c>
      <c r="V59" s="66">
        <f ca="1" t="shared" si="89"/>
        <v>3.9878</v>
      </c>
      <c r="W59" s="66">
        <f ca="1" t="shared" si="33"/>
        <v>3.235</v>
      </c>
      <c r="X59" s="66">
        <f ca="1" t="shared" si="34"/>
        <v>0.7528000000000001</v>
      </c>
      <c r="Y59" s="63">
        <f ca="1" t="shared" si="35"/>
        <v>0</v>
      </c>
      <c r="Z59" s="67">
        <f ca="1" t="shared" si="90"/>
        <v>40.23456616454847</v>
      </c>
      <c r="AA59" s="68">
        <f ca="1" t="shared" si="91"/>
        <v>0.18514507026431937</v>
      </c>
      <c r="AB59" s="169">
        <f t="shared" si="36"/>
        <v>3.14</v>
      </c>
      <c r="AC59" s="169">
        <f t="shared" si="37"/>
        <v>5</v>
      </c>
      <c r="AD59" s="169">
        <v>0</v>
      </c>
      <c r="AE59" s="171">
        <f t="shared" si="38"/>
        <v>0</v>
      </c>
      <c r="AF59" s="182">
        <v>0</v>
      </c>
      <c r="AG59" s="182">
        <f t="shared" si="39"/>
        <v>0</v>
      </c>
      <c r="AH59" s="182">
        <f t="shared" si="40"/>
        <v>0</v>
      </c>
      <c r="AI59" s="182">
        <v>0</v>
      </c>
      <c r="AJ59" s="171">
        <f t="shared" si="41"/>
        <v>0</v>
      </c>
      <c r="AK59" s="171">
        <f t="shared" si="42"/>
        <v>5</v>
      </c>
      <c r="AL59" s="171">
        <f t="shared" si="43"/>
        <v>0.31909008666287203</v>
      </c>
      <c r="AM59" s="171">
        <f t="shared" si="44"/>
        <v>5.319090086662872</v>
      </c>
      <c r="AN59" s="81">
        <f t="shared" si="45"/>
        <v>5.319090086662872</v>
      </c>
      <c r="AO59" s="63">
        <f t="shared" si="46"/>
        <v>3.14</v>
      </c>
      <c r="AP59" s="63">
        <f t="shared" si="47"/>
        <v>3.14</v>
      </c>
      <c r="AQ59" s="63">
        <f t="shared" si="48"/>
        <v>0</v>
      </c>
      <c r="AR59" s="63">
        <f t="shared" si="49"/>
        <v>2.1790900866628715</v>
      </c>
      <c r="AS59" s="67">
        <f t="shared" si="92"/>
        <v>35.5763854636149</v>
      </c>
      <c r="AT59" s="65">
        <f ca="1" t="shared" si="93"/>
        <v>1.27</v>
      </c>
      <c r="AU59" s="66">
        <f ca="1" t="shared" si="50"/>
        <v>3.9878</v>
      </c>
      <c r="AV59" s="66">
        <f ca="1" t="shared" si="51"/>
        <v>3.9878</v>
      </c>
      <c r="AW59" s="66">
        <f ca="1" t="shared" si="52"/>
        <v>0</v>
      </c>
      <c r="AX59" s="63">
        <f ca="1" t="shared" si="53"/>
        <v>1.3312900866628716</v>
      </c>
      <c r="AY59" s="67">
        <f ca="1" t="shared" si="94"/>
        <v>36.38031310262951</v>
      </c>
      <c r="AZ59" s="65">
        <f ca="1" t="shared" si="54"/>
        <v>0.0225972264618286</v>
      </c>
      <c r="BA59" s="68">
        <f ca="1" t="shared" si="95"/>
        <v>-0.09579457241209244</v>
      </c>
      <c r="BB59" s="169">
        <f t="shared" si="55"/>
        <v>3.14</v>
      </c>
      <c r="BC59" s="169">
        <f t="shared" si="56"/>
        <v>5</v>
      </c>
      <c r="BD59" s="169">
        <v>0</v>
      </c>
      <c r="BE59" s="171">
        <f t="shared" si="57"/>
        <v>0</v>
      </c>
      <c r="BF59" s="182">
        <v>0</v>
      </c>
      <c r="BG59" s="182">
        <f t="shared" si="58"/>
        <v>0</v>
      </c>
      <c r="BH59" s="182">
        <f t="shared" si="59"/>
        <v>0</v>
      </c>
      <c r="BI59" s="169">
        <f t="shared" si="60"/>
        <v>0</v>
      </c>
      <c r="BJ59" s="171">
        <f t="shared" si="61"/>
        <v>5</v>
      </c>
      <c r="BK59" s="171">
        <f t="shared" si="62"/>
        <v>0.09593190376411076</v>
      </c>
      <c r="BL59" s="171">
        <f t="shared" si="63"/>
        <v>5.095931903764111</v>
      </c>
      <c r="BM59" s="81">
        <f t="shared" si="64"/>
        <v>5.095931903764111</v>
      </c>
      <c r="BN59" s="63">
        <f t="shared" si="96"/>
        <v>3.14</v>
      </c>
      <c r="BO59" s="63">
        <f t="shared" si="65"/>
        <v>3.14</v>
      </c>
      <c r="BP59" s="63">
        <f t="shared" si="66"/>
        <v>0</v>
      </c>
      <c r="BQ59" s="63">
        <f t="shared" si="67"/>
        <v>1.9559319037641107</v>
      </c>
      <c r="BR59" s="67">
        <f t="shared" si="68"/>
        <v>34.790963136607154</v>
      </c>
      <c r="BS59" s="69">
        <f ca="1" t="shared" si="97"/>
        <v>1.27</v>
      </c>
      <c r="BT59" s="66">
        <f ca="1" t="shared" si="69"/>
        <v>3.9878</v>
      </c>
      <c r="BU59" s="66">
        <f ca="1" t="shared" si="70"/>
        <v>3.9878</v>
      </c>
      <c r="BV59" s="66">
        <f ca="1" t="shared" si="71"/>
        <v>0</v>
      </c>
      <c r="BW59" s="63">
        <f ca="1" t="shared" si="72"/>
        <v>1.1081319037641109</v>
      </c>
      <c r="BX59" s="67">
        <f ca="1" t="shared" si="98"/>
        <v>35.05800570624853</v>
      </c>
      <c r="BY59" s="65">
        <f ca="1" t="shared" si="73"/>
        <v>0.007675630266193778</v>
      </c>
      <c r="BZ59" s="68">
        <f ca="1" t="shared" si="99"/>
        <v>-0.1286595321328733</v>
      </c>
      <c r="CA59" s="81">
        <f t="shared" si="74"/>
        <v>3.14</v>
      </c>
      <c r="CB59" s="63">
        <f t="shared" si="75"/>
        <v>3.14</v>
      </c>
      <c r="CC59" s="67">
        <f t="shared" si="76"/>
        <v>35.90132553133049</v>
      </c>
      <c r="CD59" s="69">
        <f ca="1" t="shared" si="100"/>
        <v>1.27</v>
      </c>
      <c r="CE59" s="190">
        <f ca="1" t="shared" si="77"/>
        <v>3.9878</v>
      </c>
      <c r="CF59" s="70">
        <f ca="1" t="shared" si="78"/>
        <v>3.9878</v>
      </c>
      <c r="CG59" s="67">
        <f ca="1" t="shared" si="79"/>
        <v>39.30481757441425</v>
      </c>
      <c r="CH59" s="65">
        <f ca="1" t="shared" si="80"/>
        <v>0.09480129194989151</v>
      </c>
      <c r="CI59" s="65">
        <f ca="1" t="shared" si="101"/>
        <v>-0.023108204679821776</v>
      </c>
      <c r="CJ59" s="68">
        <f ca="1" t="shared" si="81"/>
        <v>0.12113672134546993</v>
      </c>
      <c r="CL59" s="97">
        <f ca="1" t="shared" si="102"/>
        <v>1405519.2498506405</v>
      </c>
      <c r="CM59" s="97">
        <f ca="1" t="shared" si="103"/>
        <v>1270878.1342942338</v>
      </c>
      <c r="CN59" s="97">
        <f ca="1" t="shared" si="104"/>
        <v>1224685.8007611101</v>
      </c>
      <c r="CO59" s="97">
        <f ca="1" t="shared" si="82"/>
        <v>1373040.2233436625</v>
      </c>
      <c r="CQ59" s="97">
        <f t="shared" si="105"/>
        <v>933816.5415493905</v>
      </c>
      <c r="CR59" s="97">
        <f t="shared" si="106"/>
        <v>978578.2891163769</v>
      </c>
      <c r="CS59" s="97">
        <f t="shared" si="107"/>
        <v>956974.1484207711</v>
      </c>
      <c r="CT59" s="97">
        <f t="shared" si="83"/>
        <v>987516.2205949891</v>
      </c>
      <c r="CV59" s="97">
        <f ca="1" t="shared" si="108"/>
        <v>1405519.2498506405</v>
      </c>
      <c r="CW59" s="97">
        <f ca="1" t="shared" si="84"/>
        <v>1270878.1342942338</v>
      </c>
      <c r="CX59" s="97">
        <f ca="1" t="shared" si="85"/>
        <v>1270878.1342942338</v>
      </c>
      <c r="CY59" s="97">
        <f ca="1" t="shared" si="86"/>
        <v>1373040.2233436625</v>
      </c>
    </row>
    <row r="60" spans="2:103" ht="12.75">
      <c r="B60" s="14">
        <v>10112</v>
      </c>
      <c r="C60" s="15" t="s">
        <v>59</v>
      </c>
      <c r="D60" s="16">
        <f>RHWM!D47</f>
        <v>1</v>
      </c>
      <c r="E60" s="16">
        <f>RHWM!E47</f>
        <v>0</v>
      </c>
      <c r="F60" s="18">
        <f>RHWM!M47</f>
        <v>58.862</v>
      </c>
      <c r="G60" s="18">
        <f>RHWM!N47</f>
        <v>59.245</v>
      </c>
      <c r="H60" s="18">
        <f>RHWM!O47</f>
        <v>58.25</v>
      </c>
      <c r="I60" s="18">
        <v>0.612</v>
      </c>
      <c r="J60" s="18">
        <v>0.995</v>
      </c>
      <c r="K60" s="18">
        <v>0.612</v>
      </c>
      <c r="L60" s="18">
        <v>0.995</v>
      </c>
      <c r="M60" s="18">
        <v>0</v>
      </c>
      <c r="N60" s="18">
        <v>0</v>
      </c>
      <c r="O60" s="81">
        <f t="shared" si="28"/>
        <v>58.25</v>
      </c>
      <c r="P60" s="63">
        <f t="shared" si="29"/>
        <v>59.245</v>
      </c>
      <c r="Q60" s="63">
        <f t="shared" si="30"/>
        <v>58.25</v>
      </c>
      <c r="R60" s="63">
        <f t="shared" si="31"/>
        <v>0.9949999999999974</v>
      </c>
      <c r="S60" s="63">
        <f t="shared" si="32"/>
        <v>0</v>
      </c>
      <c r="T60" s="67">
        <f t="shared" si="87"/>
        <v>34.4389804028514</v>
      </c>
      <c r="U60" s="138">
        <f ca="1" t="shared" si="88"/>
        <v>1.29</v>
      </c>
      <c r="V60" s="66">
        <f ca="1" t="shared" si="89"/>
        <v>76.42605</v>
      </c>
      <c r="W60" s="66">
        <f ca="1" t="shared" si="33"/>
        <v>58.25</v>
      </c>
      <c r="X60" s="66">
        <f ca="1" t="shared" si="34"/>
        <v>18.176050000000004</v>
      </c>
      <c r="Y60" s="63">
        <f ca="1" t="shared" si="35"/>
        <v>0</v>
      </c>
      <c r="Z60" s="67">
        <f ca="1" t="shared" si="90"/>
        <v>41.618302417028424</v>
      </c>
      <c r="AA60" s="68">
        <f ca="1" t="shared" si="91"/>
        <v>0.20846499896909276</v>
      </c>
      <c r="AB60" s="169">
        <f t="shared" si="36"/>
        <v>58.25</v>
      </c>
      <c r="AC60" s="169">
        <f t="shared" si="37"/>
        <v>58.25</v>
      </c>
      <c r="AD60" s="169">
        <v>0.9515</v>
      </c>
      <c r="AE60" s="171">
        <f t="shared" si="38"/>
        <v>0.47575</v>
      </c>
      <c r="AF60" s="182">
        <v>0</v>
      </c>
      <c r="AG60" s="182">
        <f t="shared" si="39"/>
        <v>0</v>
      </c>
      <c r="AH60" s="182">
        <f t="shared" si="40"/>
        <v>0</v>
      </c>
      <c r="AI60" s="182">
        <v>0</v>
      </c>
      <c r="AJ60" s="171">
        <f t="shared" si="41"/>
        <v>0.4974999999999987</v>
      </c>
      <c r="AK60" s="171">
        <f t="shared" si="42"/>
        <v>59.22324999999999</v>
      </c>
      <c r="AL60" s="171">
        <f t="shared" si="43"/>
        <v>3.779510394991387</v>
      </c>
      <c r="AM60" s="171">
        <f t="shared" si="44"/>
        <v>63.00276039499138</v>
      </c>
      <c r="AN60" s="81">
        <f t="shared" si="45"/>
        <v>63.00276039499138</v>
      </c>
      <c r="AO60" s="63">
        <f t="shared" si="46"/>
        <v>59.245</v>
      </c>
      <c r="AP60" s="63">
        <f t="shared" si="47"/>
        <v>59.245</v>
      </c>
      <c r="AQ60" s="63">
        <f t="shared" si="48"/>
        <v>0</v>
      </c>
      <c r="AR60" s="63">
        <f t="shared" si="49"/>
        <v>3.7577603949913794</v>
      </c>
      <c r="AS60" s="67">
        <f t="shared" si="92"/>
        <v>35.5763854636149</v>
      </c>
      <c r="AT60" s="65">
        <f ca="1" t="shared" si="93"/>
        <v>1.29</v>
      </c>
      <c r="AU60" s="66">
        <f ca="1" t="shared" si="50"/>
        <v>76.42605</v>
      </c>
      <c r="AV60" s="66">
        <f ca="1" t="shared" si="51"/>
        <v>63.00276039499138</v>
      </c>
      <c r="AW60" s="66">
        <f ca="1" t="shared" si="52"/>
        <v>13.423289605008627</v>
      </c>
      <c r="AX60" s="63">
        <f ca="1" t="shared" si="53"/>
        <v>0</v>
      </c>
      <c r="AY60" s="67">
        <f ca="1" t="shared" si="94"/>
        <v>41.07680809577201</v>
      </c>
      <c r="AZ60" s="65">
        <f ca="1" t="shared" si="54"/>
        <v>0.15460881032398777</v>
      </c>
      <c r="BA60" s="68">
        <f ca="1" t="shared" si="95"/>
        <v>-0.013010966084836206</v>
      </c>
      <c r="BB60" s="169">
        <f t="shared" si="55"/>
        <v>58.25</v>
      </c>
      <c r="BC60" s="169">
        <f t="shared" si="56"/>
        <v>58.25</v>
      </c>
      <c r="BD60" s="169">
        <v>0.9515</v>
      </c>
      <c r="BE60" s="171">
        <f t="shared" si="57"/>
        <v>0.47575</v>
      </c>
      <c r="BF60" s="182">
        <v>0</v>
      </c>
      <c r="BG60" s="182">
        <f t="shared" si="58"/>
        <v>0</v>
      </c>
      <c r="BH60" s="182">
        <f t="shared" si="59"/>
        <v>0</v>
      </c>
      <c r="BI60" s="169">
        <f t="shared" si="60"/>
        <v>0.24874999999999936</v>
      </c>
      <c r="BJ60" s="171">
        <f t="shared" si="61"/>
        <v>58.9745</v>
      </c>
      <c r="BK60" s="171">
        <f t="shared" si="62"/>
        <v>1.1315072117073097</v>
      </c>
      <c r="BL60" s="171">
        <f t="shared" si="63"/>
        <v>60.10600721170731</v>
      </c>
      <c r="BM60" s="81">
        <f t="shared" si="64"/>
        <v>60.10600721170731</v>
      </c>
      <c r="BN60" s="63">
        <f t="shared" si="96"/>
        <v>59.245</v>
      </c>
      <c r="BO60" s="63">
        <f t="shared" si="65"/>
        <v>59.245</v>
      </c>
      <c r="BP60" s="63">
        <f t="shared" si="66"/>
        <v>0</v>
      </c>
      <c r="BQ60" s="63">
        <f t="shared" si="67"/>
        <v>0.8610072117073102</v>
      </c>
      <c r="BR60" s="67">
        <f t="shared" si="68"/>
        <v>34.790963136607154</v>
      </c>
      <c r="BS60" s="69">
        <f ca="1" t="shared" si="97"/>
        <v>1.29</v>
      </c>
      <c r="BT60" s="66">
        <f ca="1" t="shared" si="69"/>
        <v>76.42605</v>
      </c>
      <c r="BU60" s="66">
        <f ca="1" t="shared" si="70"/>
        <v>60.10600721170731</v>
      </c>
      <c r="BV60" s="66">
        <f ca="1" t="shared" si="71"/>
        <v>16.320042788292696</v>
      </c>
      <c r="BW60" s="63">
        <f ca="1" t="shared" si="72"/>
        <v>0</v>
      </c>
      <c r="BX60" s="67">
        <f ca="1" t="shared" si="98"/>
        <v>41.05037280619481</v>
      </c>
      <c r="BY60" s="65">
        <f ca="1" t="shared" si="73"/>
        <v>0.1799148142294884</v>
      </c>
      <c r="BZ60" s="68">
        <f ca="1" t="shared" si="99"/>
        <v>-0.013646150319702732</v>
      </c>
      <c r="CA60" s="81">
        <f t="shared" si="74"/>
        <v>59.245</v>
      </c>
      <c r="CB60" s="63">
        <f t="shared" si="75"/>
        <v>59.245</v>
      </c>
      <c r="CC60" s="67">
        <f t="shared" si="76"/>
        <v>35.90132553133049</v>
      </c>
      <c r="CD60" s="69">
        <f ca="1" t="shared" si="100"/>
        <v>1.29</v>
      </c>
      <c r="CE60" s="190">
        <f ca="1" t="shared" si="77"/>
        <v>76.42605</v>
      </c>
      <c r="CF60" s="70">
        <f ca="1" t="shared" si="78"/>
        <v>76.42605</v>
      </c>
      <c r="CG60" s="67">
        <f ca="1" t="shared" si="79"/>
        <v>39.30481757441425</v>
      </c>
      <c r="CH60" s="65">
        <f ca="1" t="shared" si="80"/>
        <v>0.09480129194989151</v>
      </c>
      <c r="CI60" s="65">
        <f ca="1" t="shared" si="101"/>
        <v>-0.05558815973396347</v>
      </c>
      <c r="CJ60" s="68">
        <f ca="1" t="shared" si="81"/>
        <v>-0.042522274767676116</v>
      </c>
      <c r="CL60" s="97">
        <f ca="1" t="shared" si="102"/>
        <v>27863128.76220507</v>
      </c>
      <c r="CM60" s="97">
        <f ca="1" t="shared" si="103"/>
        <v>27500602.5388626</v>
      </c>
      <c r="CN60" s="97">
        <f ca="1" t="shared" si="104"/>
        <v>27482904.31873879</v>
      </c>
      <c r="CO60" s="97">
        <f ca="1" t="shared" si="82"/>
        <v>26314268.709883627</v>
      </c>
      <c r="CQ60" s="97">
        <f t="shared" si="105"/>
        <v>17873355.571150318</v>
      </c>
      <c r="CR60" s="97">
        <f t="shared" si="106"/>
        <v>18463653.101496734</v>
      </c>
      <c r="CS60" s="97">
        <f t="shared" si="107"/>
        <v>18056029.752607826</v>
      </c>
      <c r="CT60" s="97">
        <f t="shared" si="83"/>
        <v>18632292.512468193</v>
      </c>
      <c r="CV60" s="97">
        <f ca="1" t="shared" si="108"/>
        <v>27863128.76220507</v>
      </c>
      <c r="CW60" s="97">
        <f ca="1" t="shared" si="84"/>
        <v>27500602.538862597</v>
      </c>
      <c r="CX60" s="97">
        <f ca="1" t="shared" si="85"/>
        <v>27500602.538862597</v>
      </c>
      <c r="CY60" s="97">
        <f ca="1" t="shared" si="86"/>
        <v>26314268.709883627</v>
      </c>
    </row>
    <row r="61" spans="2:103" ht="12.75">
      <c r="B61" s="14">
        <v>10113</v>
      </c>
      <c r="C61" s="15" t="s">
        <v>60</v>
      </c>
      <c r="D61" s="16">
        <f>RHWM!D48</f>
        <v>1</v>
      </c>
      <c r="E61" s="16">
        <f>RHWM!E48</f>
        <v>0</v>
      </c>
      <c r="F61" s="18">
        <f>RHWM!M48</f>
        <v>43.527</v>
      </c>
      <c r="G61" s="18">
        <f>RHWM!N48</f>
        <v>44.037</v>
      </c>
      <c r="H61" s="18">
        <f>RHWM!O48</f>
        <v>37.693</v>
      </c>
      <c r="I61" s="18">
        <v>5.834</v>
      </c>
      <c r="J61" s="18">
        <v>6.344</v>
      </c>
      <c r="K61" s="18">
        <v>0</v>
      </c>
      <c r="L61" s="18">
        <v>0</v>
      </c>
      <c r="M61" s="18">
        <v>5.834</v>
      </c>
      <c r="N61" s="18">
        <v>6.344</v>
      </c>
      <c r="O61" s="81">
        <f t="shared" si="28"/>
        <v>37.693</v>
      </c>
      <c r="P61" s="63">
        <f t="shared" si="29"/>
        <v>44.037</v>
      </c>
      <c r="Q61" s="63">
        <f t="shared" si="30"/>
        <v>37.693</v>
      </c>
      <c r="R61" s="63">
        <f t="shared" si="31"/>
        <v>6.344000000000001</v>
      </c>
      <c r="S61" s="63">
        <f t="shared" si="32"/>
        <v>0</v>
      </c>
      <c r="T61" s="67">
        <f t="shared" si="87"/>
        <v>38.15144900161327</v>
      </c>
      <c r="U61" s="138">
        <f ca="1" t="shared" si="88"/>
        <v>0.93</v>
      </c>
      <c r="V61" s="66">
        <f ca="1" t="shared" si="89"/>
        <v>40.95441</v>
      </c>
      <c r="W61" s="66">
        <f ca="1" t="shared" si="33"/>
        <v>37.693</v>
      </c>
      <c r="X61" s="66">
        <f ca="1" t="shared" si="34"/>
        <v>3.261410000000005</v>
      </c>
      <c r="Y61" s="63">
        <f ca="1" t="shared" si="35"/>
        <v>0</v>
      </c>
      <c r="Z61" s="67">
        <f ca="1" t="shared" si="90"/>
        <v>37.155601594878334</v>
      </c>
      <c r="AA61" s="68">
        <f ca="1" t="shared" si="91"/>
        <v>-0.026102479271307044</v>
      </c>
      <c r="AB61" s="169">
        <f t="shared" si="36"/>
        <v>37.693</v>
      </c>
      <c r="AC61" s="169">
        <f t="shared" si="37"/>
        <v>37.693</v>
      </c>
      <c r="AD61" s="169">
        <v>0.051000000000000004</v>
      </c>
      <c r="AE61" s="171">
        <f t="shared" si="38"/>
        <v>0.025500000000000002</v>
      </c>
      <c r="AF61" s="182">
        <v>0</v>
      </c>
      <c r="AG61" s="182">
        <f t="shared" si="39"/>
        <v>0</v>
      </c>
      <c r="AH61" s="182">
        <f t="shared" si="40"/>
        <v>0</v>
      </c>
      <c r="AI61" s="182">
        <v>0</v>
      </c>
      <c r="AJ61" s="171">
        <f t="shared" si="41"/>
        <v>3.1720000000000006</v>
      </c>
      <c r="AK61" s="171">
        <f t="shared" si="42"/>
        <v>40.8905</v>
      </c>
      <c r="AL61" s="171">
        <f t="shared" si="43"/>
        <v>2.609550637737634</v>
      </c>
      <c r="AM61" s="171">
        <f t="shared" si="44"/>
        <v>43.50005063773764</v>
      </c>
      <c r="AN61" s="81">
        <f t="shared" si="45"/>
        <v>43.50005063773764</v>
      </c>
      <c r="AO61" s="63">
        <f t="shared" si="46"/>
        <v>44.037</v>
      </c>
      <c r="AP61" s="63">
        <f t="shared" si="47"/>
        <v>43.50005063773764</v>
      </c>
      <c r="AQ61" s="63">
        <f t="shared" si="48"/>
        <v>0.5369493622623622</v>
      </c>
      <c r="AR61" s="63">
        <f t="shared" si="49"/>
        <v>0</v>
      </c>
      <c r="AS61" s="67">
        <f t="shared" si="92"/>
        <v>35.912228646840646</v>
      </c>
      <c r="AT61" s="65">
        <f ca="1" t="shared" si="93"/>
        <v>0.93</v>
      </c>
      <c r="AU61" s="66">
        <f ca="1" t="shared" si="50"/>
        <v>40.95441</v>
      </c>
      <c r="AV61" s="66">
        <f ca="1" t="shared" si="51"/>
        <v>40.95441</v>
      </c>
      <c r="AW61" s="66">
        <f ca="1" t="shared" si="52"/>
        <v>0</v>
      </c>
      <c r="AX61" s="63">
        <f ca="1" t="shared" si="53"/>
        <v>2.545640637737634</v>
      </c>
      <c r="AY61" s="67">
        <f ca="1" t="shared" si="94"/>
        <v>36.38031310262951</v>
      </c>
      <c r="AZ61" s="65">
        <f ca="1" t="shared" si="54"/>
        <v>0.01303412440347218</v>
      </c>
      <c r="BA61" s="68">
        <f ca="1" t="shared" si="95"/>
        <v>-0.020865992178032533</v>
      </c>
      <c r="BB61" s="169">
        <f t="shared" si="55"/>
        <v>37.693</v>
      </c>
      <c r="BC61" s="169">
        <f t="shared" si="56"/>
        <v>37.693</v>
      </c>
      <c r="BD61" s="169">
        <v>0.051000000000000004</v>
      </c>
      <c r="BE61" s="171">
        <f t="shared" si="57"/>
        <v>0.025500000000000002</v>
      </c>
      <c r="BF61" s="182">
        <v>0</v>
      </c>
      <c r="BG61" s="182">
        <f t="shared" si="58"/>
        <v>0</v>
      </c>
      <c r="BH61" s="182">
        <f t="shared" si="59"/>
        <v>0</v>
      </c>
      <c r="BI61" s="169">
        <f t="shared" si="60"/>
        <v>1.5860000000000003</v>
      </c>
      <c r="BJ61" s="171">
        <f t="shared" si="61"/>
        <v>39.3045</v>
      </c>
      <c r="BK61" s="171">
        <f t="shared" si="62"/>
        <v>0.7541111022992981</v>
      </c>
      <c r="BL61" s="171">
        <f t="shared" si="63"/>
        <v>40.058611102299295</v>
      </c>
      <c r="BM61" s="81">
        <f t="shared" si="64"/>
        <v>40.058611102299295</v>
      </c>
      <c r="BN61" s="63">
        <f t="shared" si="96"/>
        <v>44.037</v>
      </c>
      <c r="BO61" s="63">
        <f t="shared" si="65"/>
        <v>40.058611102299295</v>
      </c>
      <c r="BP61" s="63">
        <f t="shared" si="66"/>
        <v>3.978388897700704</v>
      </c>
      <c r="BQ61" s="63">
        <f t="shared" si="67"/>
        <v>0</v>
      </c>
      <c r="BR61" s="67">
        <f t="shared" si="68"/>
        <v>37.350263855091065</v>
      </c>
      <c r="BS61" s="69">
        <f ca="1" t="shared" si="97"/>
        <v>0.93</v>
      </c>
      <c r="BT61" s="66">
        <f ca="1" t="shared" si="69"/>
        <v>40.95441</v>
      </c>
      <c r="BU61" s="66">
        <f ca="1" t="shared" si="70"/>
        <v>40.058611102299295</v>
      </c>
      <c r="BV61" s="66">
        <f ca="1" t="shared" si="71"/>
        <v>0.8957988977007076</v>
      </c>
      <c r="BW61" s="63">
        <f ca="1" t="shared" si="72"/>
        <v>0</v>
      </c>
      <c r="BX61" s="67">
        <f ca="1" t="shared" si="98"/>
        <v>35.6718078231787</v>
      </c>
      <c r="BY61" s="65">
        <f ca="1" t="shared" si="73"/>
        <v>-0.04493826438346771</v>
      </c>
      <c r="BZ61" s="68">
        <f ca="1" t="shared" si="99"/>
        <v>-0.039934591501922134</v>
      </c>
      <c r="CA61" s="81">
        <f t="shared" si="74"/>
        <v>44.037</v>
      </c>
      <c r="CB61" s="63">
        <f t="shared" si="75"/>
        <v>44.037</v>
      </c>
      <c r="CC61" s="67">
        <f t="shared" si="76"/>
        <v>35.90132553133049</v>
      </c>
      <c r="CD61" s="69">
        <f ca="1" t="shared" si="100"/>
        <v>0.93</v>
      </c>
      <c r="CE61" s="190">
        <f ca="1" t="shared" si="77"/>
        <v>40.95441</v>
      </c>
      <c r="CF61" s="70">
        <f ca="1" t="shared" si="78"/>
        <v>40.95441</v>
      </c>
      <c r="CG61" s="67">
        <f ca="1" t="shared" si="79"/>
        <v>39.30481757441425</v>
      </c>
      <c r="CH61" s="65">
        <f ca="1" t="shared" si="80"/>
        <v>0.09480129194989151</v>
      </c>
      <c r="CI61" s="65">
        <f ca="1" t="shared" si="101"/>
        <v>0.05784365983276585</v>
      </c>
      <c r="CJ61" s="68">
        <f ca="1" t="shared" si="81"/>
        <v>0.10184540602046255</v>
      </c>
      <c r="CL61" s="97">
        <f ca="1" t="shared" si="102"/>
        <v>13329967.09565652</v>
      </c>
      <c r="CM61" s="97">
        <f ca="1" t="shared" si="103"/>
        <v>13051824.106505118</v>
      </c>
      <c r="CN61" s="97">
        <f ca="1" t="shared" si="104"/>
        <v>12797640.304957412</v>
      </c>
      <c r="CO61" s="97">
        <f ca="1" t="shared" si="82"/>
        <v>14101021.177919637</v>
      </c>
      <c r="CQ61" s="97">
        <f t="shared" si="105"/>
        <v>14717460.15083222</v>
      </c>
      <c r="CR61" s="97">
        <f t="shared" si="106"/>
        <v>13853649.281187272</v>
      </c>
      <c r="CS61" s="97">
        <f t="shared" si="107"/>
        <v>14408391.667827012</v>
      </c>
      <c r="CT61" s="97">
        <f t="shared" si="83"/>
        <v>13849443.25042724</v>
      </c>
      <c r="CV61" s="97">
        <f ca="1" t="shared" si="108"/>
        <v>13329967.095656518</v>
      </c>
      <c r="CW61" s="97">
        <f ca="1" t="shared" si="84"/>
        <v>13051824.106505118</v>
      </c>
      <c r="CX61" s="97">
        <f ca="1" t="shared" si="85"/>
        <v>13051824.106505118</v>
      </c>
      <c r="CY61" s="97">
        <f ca="1" t="shared" si="86"/>
        <v>14101021.177919637</v>
      </c>
    </row>
    <row r="62" spans="2:103" ht="12.75">
      <c r="B62" s="14">
        <v>10116</v>
      </c>
      <c r="C62" s="15" t="s">
        <v>61</v>
      </c>
      <c r="D62" s="16">
        <f>RHWM!D49</f>
        <v>1</v>
      </c>
      <c r="E62" s="16">
        <f>RHWM!E49</f>
        <v>0</v>
      </c>
      <c r="F62" s="18">
        <f>RHWM!M49</f>
        <v>0.233</v>
      </c>
      <c r="G62" s="18">
        <f>RHWM!N49</f>
        <v>0.232</v>
      </c>
      <c r="H62" s="18">
        <f>RHWM!O49</f>
        <v>0.228</v>
      </c>
      <c r="I62" s="18">
        <v>0.005</v>
      </c>
      <c r="J62" s="18">
        <v>0.004</v>
      </c>
      <c r="K62" s="18">
        <v>0.005</v>
      </c>
      <c r="L62" s="18">
        <v>0.004</v>
      </c>
      <c r="M62" s="18">
        <v>0</v>
      </c>
      <c r="N62" s="18">
        <v>0</v>
      </c>
      <c r="O62" s="81">
        <f t="shared" si="28"/>
        <v>0.228</v>
      </c>
      <c r="P62" s="63">
        <f t="shared" si="29"/>
        <v>0.232</v>
      </c>
      <c r="Q62" s="63">
        <f t="shared" si="30"/>
        <v>0.228</v>
      </c>
      <c r="R62" s="63">
        <f t="shared" si="31"/>
        <v>0.0040000000000000036</v>
      </c>
      <c r="S62" s="63">
        <f t="shared" si="32"/>
        <v>0</v>
      </c>
      <c r="T62" s="67">
        <f t="shared" si="87"/>
        <v>34.452011441798156</v>
      </c>
      <c r="U62" s="138">
        <f ca="1" t="shared" si="88"/>
        <v>1.04</v>
      </c>
      <c r="V62" s="66">
        <f ca="1" t="shared" si="89"/>
        <v>0.24128000000000002</v>
      </c>
      <c r="W62" s="66">
        <f ca="1" t="shared" si="33"/>
        <v>0.228</v>
      </c>
      <c r="X62" s="66">
        <f ca="1" t="shared" si="34"/>
        <v>0.013280000000000014</v>
      </c>
      <c r="Y62" s="63">
        <f ca="1" t="shared" si="35"/>
        <v>0</v>
      </c>
      <c r="Z62" s="67">
        <f ca="1" t="shared" si="90"/>
        <v>36.461742628732395</v>
      </c>
      <c r="AA62" s="68">
        <f ca="1" t="shared" si="91"/>
        <v>0.058334219188606706</v>
      </c>
      <c r="AB62" s="169">
        <f t="shared" si="36"/>
        <v>0.228</v>
      </c>
      <c r="AC62" s="169">
        <f t="shared" si="37"/>
        <v>0.456</v>
      </c>
      <c r="AD62" s="169">
        <v>0.006500000000000001</v>
      </c>
      <c r="AE62" s="171">
        <f t="shared" si="38"/>
        <v>0.0032500000000000003</v>
      </c>
      <c r="AF62" s="182">
        <v>0</v>
      </c>
      <c r="AG62" s="182">
        <f t="shared" si="39"/>
        <v>0</v>
      </c>
      <c r="AH62" s="182">
        <f t="shared" si="40"/>
        <v>0</v>
      </c>
      <c r="AI62" s="182">
        <v>0</v>
      </c>
      <c r="AJ62" s="171">
        <f t="shared" si="41"/>
        <v>0.0020000000000000018</v>
      </c>
      <c r="AK62" s="171">
        <f t="shared" si="42"/>
        <v>0.46125</v>
      </c>
      <c r="AL62" s="171">
        <f t="shared" si="43"/>
        <v>0.02943606049464994</v>
      </c>
      <c r="AM62" s="171">
        <f t="shared" si="44"/>
        <v>0.4906860604946499</v>
      </c>
      <c r="AN62" s="81">
        <f t="shared" si="45"/>
        <v>0.4906860604946499</v>
      </c>
      <c r="AO62" s="63">
        <f t="shared" si="46"/>
        <v>0.232</v>
      </c>
      <c r="AP62" s="63">
        <f t="shared" si="47"/>
        <v>0.232</v>
      </c>
      <c r="AQ62" s="63">
        <f t="shared" si="48"/>
        <v>0</v>
      </c>
      <c r="AR62" s="63">
        <f t="shared" si="49"/>
        <v>0.2586860604946499</v>
      </c>
      <c r="AS62" s="67">
        <f t="shared" si="92"/>
        <v>35.5763854636149</v>
      </c>
      <c r="AT62" s="65">
        <f ca="1" t="shared" si="93"/>
        <v>1.04</v>
      </c>
      <c r="AU62" s="66">
        <f ca="1" t="shared" si="50"/>
        <v>0.24128000000000002</v>
      </c>
      <c r="AV62" s="66">
        <f ca="1" t="shared" si="51"/>
        <v>0.24128000000000002</v>
      </c>
      <c r="AW62" s="66">
        <f ca="1" t="shared" si="52"/>
        <v>0</v>
      </c>
      <c r="AX62" s="63">
        <f ca="1" t="shared" si="53"/>
        <v>0.2494060604946499</v>
      </c>
      <c r="AY62" s="67">
        <f ca="1" t="shared" si="94"/>
        <v>36.38031310262951</v>
      </c>
      <c r="AZ62" s="65">
        <f ca="1" t="shared" si="54"/>
        <v>0.0225972264618286</v>
      </c>
      <c r="BA62" s="68">
        <f ca="1" t="shared" si="95"/>
        <v>-0.0022332867337701012</v>
      </c>
      <c r="BB62" s="169">
        <f t="shared" si="55"/>
        <v>0.228</v>
      </c>
      <c r="BC62" s="169">
        <f t="shared" si="56"/>
        <v>0.456</v>
      </c>
      <c r="BD62" s="169">
        <v>0.006500000000000001</v>
      </c>
      <c r="BE62" s="171">
        <f t="shared" si="57"/>
        <v>0.0032500000000000003</v>
      </c>
      <c r="BF62" s="182">
        <v>0</v>
      </c>
      <c r="BG62" s="182">
        <f t="shared" si="58"/>
        <v>0</v>
      </c>
      <c r="BH62" s="182">
        <f t="shared" si="59"/>
        <v>0</v>
      </c>
      <c r="BI62" s="169">
        <f t="shared" si="60"/>
        <v>0.0010000000000000009</v>
      </c>
      <c r="BJ62" s="171">
        <f t="shared" si="61"/>
        <v>0.46025</v>
      </c>
      <c r="BK62" s="171">
        <f t="shared" si="62"/>
        <v>0.008830531741486396</v>
      </c>
      <c r="BL62" s="171">
        <f t="shared" si="63"/>
        <v>0.4690805317414864</v>
      </c>
      <c r="BM62" s="81">
        <f t="shared" si="64"/>
        <v>0.4690805317414864</v>
      </c>
      <c r="BN62" s="63">
        <f t="shared" si="96"/>
        <v>0.232</v>
      </c>
      <c r="BO62" s="63">
        <f t="shared" si="65"/>
        <v>0.232</v>
      </c>
      <c r="BP62" s="63">
        <f t="shared" si="66"/>
        <v>0</v>
      </c>
      <c r="BQ62" s="63">
        <f t="shared" si="67"/>
        <v>0.23708053174148638</v>
      </c>
      <c r="BR62" s="67">
        <f t="shared" si="68"/>
        <v>34.790963136607154</v>
      </c>
      <c r="BS62" s="69">
        <f ca="1" t="shared" si="97"/>
        <v>1.04</v>
      </c>
      <c r="BT62" s="66">
        <f ca="1" t="shared" si="69"/>
        <v>0.24128000000000002</v>
      </c>
      <c r="BU62" s="66">
        <f ca="1" t="shared" si="70"/>
        <v>0.24128000000000002</v>
      </c>
      <c r="BV62" s="66">
        <f ca="1" t="shared" si="71"/>
        <v>0</v>
      </c>
      <c r="BW62" s="63">
        <f ca="1" t="shared" si="72"/>
        <v>0.22780053174148637</v>
      </c>
      <c r="BX62" s="67">
        <f ca="1" t="shared" si="98"/>
        <v>35.05800570624853</v>
      </c>
      <c r="BY62" s="65">
        <f ca="1" t="shared" si="73"/>
        <v>0.007675630266193778</v>
      </c>
      <c r="BZ62" s="68">
        <f ca="1" t="shared" si="99"/>
        <v>-0.03849889833234954</v>
      </c>
      <c r="CA62" s="81">
        <f t="shared" si="74"/>
        <v>0.232</v>
      </c>
      <c r="CB62" s="63">
        <f t="shared" si="75"/>
        <v>0.232</v>
      </c>
      <c r="CC62" s="67">
        <f t="shared" si="76"/>
        <v>35.90132553133049</v>
      </c>
      <c r="CD62" s="69">
        <f ca="1" t="shared" si="100"/>
        <v>1.04</v>
      </c>
      <c r="CE62" s="190">
        <f ca="1" t="shared" si="77"/>
        <v>0.24128000000000002</v>
      </c>
      <c r="CF62" s="70">
        <f ca="1" t="shared" si="78"/>
        <v>0.24128000000000002</v>
      </c>
      <c r="CG62" s="67">
        <f ca="1" t="shared" si="79"/>
        <v>39.30481757441425</v>
      </c>
      <c r="CH62" s="65">
        <f ca="1" t="shared" si="80"/>
        <v>0.09480129194989151</v>
      </c>
      <c r="CI62" s="65">
        <f ca="1" t="shared" si="101"/>
        <v>0.07797419269372696</v>
      </c>
      <c r="CJ62" s="68">
        <f ca="1" t="shared" si="81"/>
        <v>0.12113672134546993</v>
      </c>
      <c r="CL62" s="97">
        <f ca="1" t="shared" si="102"/>
        <v>77066.00593039444</v>
      </c>
      <c r="CM62" s="97">
        <f ca="1" t="shared" si="103"/>
        <v>76893.89544172544</v>
      </c>
      <c r="CN62" s="97">
        <f ca="1" t="shared" si="104"/>
        <v>74099.04960319995</v>
      </c>
      <c r="CO62" s="97">
        <f ca="1" t="shared" si="82"/>
        <v>83075.16552694692</v>
      </c>
      <c r="CQ62" s="97">
        <f t="shared" si="105"/>
        <v>70017.51189339523</v>
      </c>
      <c r="CR62" s="97">
        <f t="shared" si="106"/>
        <v>72302.59970541383</v>
      </c>
      <c r="CS62" s="97">
        <f t="shared" si="107"/>
        <v>70706.37020178945</v>
      </c>
      <c r="CT62" s="97">
        <f t="shared" si="83"/>
        <v>72962.9819038336</v>
      </c>
      <c r="CV62" s="97">
        <f ca="1" t="shared" si="108"/>
        <v>77066.00593039444</v>
      </c>
      <c r="CW62" s="97">
        <f ca="1" t="shared" si="84"/>
        <v>76893.89544172544</v>
      </c>
      <c r="CX62" s="97">
        <f ca="1" t="shared" si="85"/>
        <v>76893.89544172544</v>
      </c>
      <c r="CY62" s="97">
        <f ca="1" t="shared" si="86"/>
        <v>83075.16552694692</v>
      </c>
    </row>
    <row r="63" spans="2:103" ht="12.75">
      <c r="B63" s="14">
        <v>10118</v>
      </c>
      <c r="C63" s="15" t="s">
        <v>62</v>
      </c>
      <c r="D63" s="16">
        <f>RHWM!D50</f>
        <v>0</v>
      </c>
      <c r="E63" s="16">
        <f>RHWM!E50</f>
        <v>1</v>
      </c>
      <c r="F63" s="18">
        <f>RHWM!M50</f>
        <v>49.217</v>
      </c>
      <c r="G63" s="18">
        <f>RHWM!N50</f>
        <v>49.605</v>
      </c>
      <c r="H63" s="18">
        <f>RHWM!O50</f>
        <v>45.674</v>
      </c>
      <c r="I63" s="18">
        <v>3.543</v>
      </c>
      <c r="J63" s="18">
        <v>3.931</v>
      </c>
      <c r="K63" s="18">
        <v>0</v>
      </c>
      <c r="L63" s="18">
        <v>0</v>
      </c>
      <c r="M63" s="18">
        <v>3.543</v>
      </c>
      <c r="N63" s="18">
        <v>3.931</v>
      </c>
      <c r="O63" s="81">
        <f t="shared" si="28"/>
        <v>45.674</v>
      </c>
      <c r="P63" s="63">
        <f t="shared" si="29"/>
        <v>49.605</v>
      </c>
      <c r="Q63" s="63">
        <f t="shared" si="30"/>
        <v>45.674</v>
      </c>
      <c r="R63" s="63">
        <f t="shared" si="31"/>
        <v>3.9309999999999974</v>
      </c>
      <c r="S63" s="63">
        <f t="shared" si="32"/>
        <v>0</v>
      </c>
      <c r="T63" s="67">
        <f t="shared" si="87"/>
        <v>36.260745522744045</v>
      </c>
      <c r="U63" s="138">
        <f ca="1" t="shared" si="88"/>
        <v>1.29</v>
      </c>
      <c r="V63" s="66">
        <f ca="1" t="shared" si="89"/>
        <v>63.990449999999996</v>
      </c>
      <c r="W63" s="66">
        <f ca="1" t="shared" si="33"/>
        <v>45.674</v>
      </c>
      <c r="X63" s="66">
        <f ca="1" t="shared" si="34"/>
        <v>18.316449999999996</v>
      </c>
      <c r="Y63" s="63">
        <f ca="1" t="shared" si="35"/>
        <v>0</v>
      </c>
      <c r="Z63" s="67">
        <f ca="1" t="shared" si="90"/>
        <v>42.984050330642766</v>
      </c>
      <c r="AA63" s="68">
        <f ca="1" t="shared" si="91"/>
        <v>0.18541551506936393</v>
      </c>
      <c r="AB63" s="169">
        <f t="shared" si="36"/>
        <v>45.674</v>
      </c>
      <c r="AC63" s="169">
        <f t="shared" si="37"/>
        <v>45.674</v>
      </c>
      <c r="AD63" s="169">
        <v>0.5495</v>
      </c>
      <c r="AE63" s="171">
        <f t="shared" si="38"/>
        <v>0.27475</v>
      </c>
      <c r="AF63" s="182">
        <v>0</v>
      </c>
      <c r="AG63" s="182">
        <f t="shared" si="39"/>
        <v>0</v>
      </c>
      <c r="AH63" s="182">
        <f t="shared" si="40"/>
        <v>0</v>
      </c>
      <c r="AI63" s="182">
        <v>0</v>
      </c>
      <c r="AJ63" s="171">
        <f t="shared" si="41"/>
        <v>1.9654999999999987</v>
      </c>
      <c r="AK63" s="171">
        <f t="shared" si="42"/>
        <v>47.914249999999996</v>
      </c>
      <c r="AL63" s="171">
        <f t="shared" si="43"/>
        <v>3.057792436977303</v>
      </c>
      <c r="AM63" s="171">
        <f t="shared" si="44"/>
        <v>50.9720424369773</v>
      </c>
      <c r="AN63" s="81">
        <f t="shared" si="45"/>
        <v>50.9720424369773</v>
      </c>
      <c r="AO63" s="63">
        <f t="shared" si="46"/>
        <v>49.605</v>
      </c>
      <c r="AP63" s="63">
        <f t="shared" si="47"/>
        <v>49.605</v>
      </c>
      <c r="AQ63" s="63">
        <f t="shared" si="48"/>
        <v>0</v>
      </c>
      <c r="AR63" s="63">
        <f t="shared" si="49"/>
        <v>1.3670424369773002</v>
      </c>
      <c r="AS63" s="67">
        <f t="shared" si="92"/>
        <v>35.5763854636149</v>
      </c>
      <c r="AT63" s="65">
        <f ca="1" t="shared" si="93"/>
        <v>1.29</v>
      </c>
      <c r="AU63" s="66">
        <f ca="1" t="shared" si="50"/>
        <v>63.990449999999996</v>
      </c>
      <c r="AV63" s="66">
        <f ca="1" t="shared" si="51"/>
        <v>50.9720424369773</v>
      </c>
      <c r="AW63" s="66">
        <f ca="1" t="shared" si="52"/>
        <v>13.018407563022699</v>
      </c>
      <c r="AX63" s="63">
        <f ca="1" t="shared" si="53"/>
        <v>0</v>
      </c>
      <c r="AY63" s="67">
        <f ca="1" t="shared" si="94"/>
        <v>41.82031457374882</v>
      </c>
      <c r="AZ63" s="65">
        <f ca="1" t="shared" si="54"/>
        <v>0.1755076865950811</v>
      </c>
      <c r="BA63" s="68">
        <f ca="1" t="shared" si="95"/>
        <v>-0.02707366448583226</v>
      </c>
      <c r="BB63" s="169">
        <f t="shared" si="55"/>
        <v>45.674</v>
      </c>
      <c r="BC63" s="169">
        <f t="shared" si="56"/>
        <v>45.674</v>
      </c>
      <c r="BD63" s="169">
        <v>0.5495</v>
      </c>
      <c r="BE63" s="171">
        <f t="shared" si="57"/>
        <v>0.27475</v>
      </c>
      <c r="BF63" s="182">
        <v>0</v>
      </c>
      <c r="BG63" s="182">
        <f t="shared" si="58"/>
        <v>0</v>
      </c>
      <c r="BH63" s="182">
        <f t="shared" si="59"/>
        <v>0</v>
      </c>
      <c r="BI63" s="169">
        <f t="shared" si="60"/>
        <v>0.9827499999999993</v>
      </c>
      <c r="BJ63" s="171">
        <f t="shared" si="61"/>
        <v>46.9315</v>
      </c>
      <c r="BK63" s="171">
        <f t="shared" si="62"/>
        <v>0.9004456283010728</v>
      </c>
      <c r="BL63" s="171">
        <f t="shared" si="63"/>
        <v>47.83194562830107</v>
      </c>
      <c r="BM63" s="81">
        <f t="shared" si="64"/>
        <v>47.83194562830107</v>
      </c>
      <c r="BN63" s="63">
        <f t="shared" si="96"/>
        <v>49.605</v>
      </c>
      <c r="BO63" s="63">
        <f t="shared" si="65"/>
        <v>47.83194562830107</v>
      </c>
      <c r="BP63" s="63">
        <f t="shared" si="66"/>
        <v>1.773054371698926</v>
      </c>
      <c r="BQ63" s="63">
        <f t="shared" si="67"/>
        <v>0</v>
      </c>
      <c r="BR63" s="67">
        <f t="shared" si="68"/>
        <v>35.8035409545017</v>
      </c>
      <c r="BS63" s="69">
        <f ca="1" t="shared" si="97"/>
        <v>1.29</v>
      </c>
      <c r="BT63" s="66">
        <f ca="1" t="shared" si="69"/>
        <v>63.990449999999996</v>
      </c>
      <c r="BU63" s="66">
        <f ca="1" t="shared" si="70"/>
        <v>47.83194562830107</v>
      </c>
      <c r="BV63" s="66">
        <f ca="1" t="shared" si="71"/>
        <v>16.158504371698925</v>
      </c>
      <c r="BW63" s="63">
        <f ca="1" t="shared" si="72"/>
        <v>0</v>
      </c>
      <c r="BX63" s="67">
        <f ca="1" t="shared" si="98"/>
        <v>42.144060851573705</v>
      </c>
      <c r="BY63" s="65">
        <f ca="1" t="shared" si="73"/>
        <v>0.17709197828028778</v>
      </c>
      <c r="BZ63" s="68">
        <f ca="1" t="shared" si="99"/>
        <v>-0.019541887574755723</v>
      </c>
      <c r="CA63" s="81">
        <f t="shared" si="74"/>
        <v>49.605</v>
      </c>
      <c r="CB63" s="63">
        <f t="shared" si="75"/>
        <v>49.605</v>
      </c>
      <c r="CC63" s="67">
        <f t="shared" si="76"/>
        <v>35.90132553133049</v>
      </c>
      <c r="CD63" s="69">
        <f ca="1" t="shared" si="100"/>
        <v>1.29</v>
      </c>
      <c r="CE63" s="190">
        <f ca="1" t="shared" si="77"/>
        <v>63.990449999999996</v>
      </c>
      <c r="CF63" s="70">
        <f ca="1" t="shared" si="78"/>
        <v>63.990449999999996</v>
      </c>
      <c r="CG63" s="67">
        <f ca="1" t="shared" si="79"/>
        <v>39.30481757441425</v>
      </c>
      <c r="CH63" s="65">
        <f ca="1" t="shared" si="80"/>
        <v>0.09480129194989151</v>
      </c>
      <c r="CI63" s="65">
        <f ca="1" t="shared" si="101"/>
        <v>-0.08559530169742147</v>
      </c>
      <c r="CJ63" s="68">
        <f ca="1" t="shared" si="81"/>
        <v>-0.06736995011370461</v>
      </c>
      <c r="CL63" s="97">
        <f ca="1" t="shared" si="102"/>
        <v>24094982.017688997</v>
      </c>
      <c r="CM63" s="97">
        <f ca="1" t="shared" si="103"/>
        <v>23442642.558749925</v>
      </c>
      <c r="CN63" s="97">
        <f ca="1" t="shared" si="104"/>
        <v>23624120.58798356</v>
      </c>
      <c r="CO63" s="97">
        <f ca="1" t="shared" si="82"/>
        <v>22032564.762490965</v>
      </c>
      <c r="CQ63" s="97">
        <f t="shared" si="105"/>
        <v>15756737.107304092</v>
      </c>
      <c r="CR63" s="97">
        <f t="shared" si="106"/>
        <v>15459355.424082125</v>
      </c>
      <c r="CS63" s="97">
        <f t="shared" si="107"/>
        <v>15558063.525660975</v>
      </c>
      <c r="CT63" s="97">
        <f t="shared" si="83"/>
        <v>15600554.816119246</v>
      </c>
      <c r="CV63" s="97">
        <f ca="1" t="shared" si="108"/>
        <v>24094982.017689</v>
      </c>
      <c r="CW63" s="97">
        <f ca="1" t="shared" si="84"/>
        <v>23442642.558749925</v>
      </c>
      <c r="CX63" s="97">
        <f ca="1" t="shared" si="85"/>
        <v>23442642.558749925</v>
      </c>
      <c r="CY63" s="97">
        <f ca="1" t="shared" si="86"/>
        <v>22032564.76249096</v>
      </c>
    </row>
    <row r="64" spans="2:103" ht="12.75">
      <c r="B64" s="14">
        <v>10121</v>
      </c>
      <c r="C64" s="15" t="s">
        <v>63</v>
      </c>
      <c r="D64" s="16">
        <f>RHWM!D51</f>
        <v>0</v>
      </c>
      <c r="E64" s="16">
        <f>RHWM!E51</f>
        <v>1</v>
      </c>
      <c r="F64" s="18">
        <f>RHWM!M51</f>
        <v>39.494</v>
      </c>
      <c r="G64" s="18">
        <f>RHWM!N51</f>
        <v>39.47</v>
      </c>
      <c r="H64" s="18">
        <f>RHWM!O51</f>
        <v>40.875</v>
      </c>
      <c r="I64" s="18">
        <v>0</v>
      </c>
      <c r="J64" s="18">
        <v>0</v>
      </c>
      <c r="K64" s="18">
        <v>0</v>
      </c>
      <c r="L64" s="18">
        <v>0</v>
      </c>
      <c r="M64" s="18">
        <v>0</v>
      </c>
      <c r="N64" s="18">
        <v>0</v>
      </c>
      <c r="O64" s="81">
        <f t="shared" si="28"/>
        <v>40.875</v>
      </c>
      <c r="P64" s="63">
        <f t="shared" si="29"/>
        <v>39.47</v>
      </c>
      <c r="Q64" s="63">
        <f t="shared" si="30"/>
        <v>39.47</v>
      </c>
      <c r="R64" s="63">
        <f t="shared" si="31"/>
        <v>0</v>
      </c>
      <c r="S64" s="63">
        <f t="shared" si="32"/>
        <v>1.4050000000000011</v>
      </c>
      <c r="T64" s="67">
        <f t="shared" si="87"/>
        <v>33.949064274110405</v>
      </c>
      <c r="U64" s="138">
        <f ca="1" t="shared" si="88"/>
        <v>1.11</v>
      </c>
      <c r="V64" s="66">
        <f ca="1" t="shared" si="89"/>
        <v>43.8117</v>
      </c>
      <c r="W64" s="66">
        <f ca="1" t="shared" si="33"/>
        <v>40.875</v>
      </c>
      <c r="X64" s="66">
        <f ca="1" t="shared" si="34"/>
        <v>2.936700000000002</v>
      </c>
      <c r="Y64" s="63">
        <f ca="1" t="shared" si="35"/>
        <v>0</v>
      </c>
      <c r="Z64" s="67">
        <f ca="1" t="shared" si="90"/>
        <v>36.799999438806495</v>
      </c>
      <c r="AA64" s="68">
        <f ca="1" t="shared" si="91"/>
        <v>0.08397684076583567</v>
      </c>
      <c r="AB64" s="169">
        <f t="shared" si="36"/>
        <v>39.47</v>
      </c>
      <c r="AC64" s="169">
        <f t="shared" si="37"/>
        <v>39.47</v>
      </c>
      <c r="AD64" s="169">
        <v>0</v>
      </c>
      <c r="AE64" s="171">
        <f t="shared" si="38"/>
        <v>0</v>
      </c>
      <c r="AF64" s="182">
        <v>0</v>
      </c>
      <c r="AG64" s="182">
        <f t="shared" si="39"/>
        <v>0</v>
      </c>
      <c r="AH64" s="182">
        <f t="shared" si="40"/>
        <v>0</v>
      </c>
      <c r="AI64" s="182">
        <v>0</v>
      </c>
      <c r="AJ64" s="171">
        <f t="shared" si="41"/>
        <v>0</v>
      </c>
      <c r="AK64" s="171">
        <f t="shared" si="42"/>
        <v>39.47</v>
      </c>
      <c r="AL64" s="171">
        <f t="shared" si="43"/>
        <v>2.5188971441167114</v>
      </c>
      <c r="AM64" s="171">
        <f t="shared" si="44"/>
        <v>41.98889714411671</v>
      </c>
      <c r="AN64" s="81">
        <f t="shared" si="45"/>
        <v>41.98889714411671</v>
      </c>
      <c r="AO64" s="63">
        <f t="shared" si="46"/>
        <v>39.47</v>
      </c>
      <c r="AP64" s="63">
        <f t="shared" si="47"/>
        <v>39.47</v>
      </c>
      <c r="AQ64" s="63">
        <f t="shared" si="48"/>
        <v>0</v>
      </c>
      <c r="AR64" s="63">
        <f t="shared" si="49"/>
        <v>2.518897144116714</v>
      </c>
      <c r="AS64" s="67">
        <f t="shared" si="92"/>
        <v>35.5763854636149</v>
      </c>
      <c r="AT64" s="65">
        <f ca="1" t="shared" si="93"/>
        <v>1.11</v>
      </c>
      <c r="AU64" s="66">
        <f ca="1" t="shared" si="50"/>
        <v>43.8117</v>
      </c>
      <c r="AV64" s="66">
        <f ca="1" t="shared" si="51"/>
        <v>41.98889714411671</v>
      </c>
      <c r="AW64" s="66">
        <f ca="1" t="shared" si="52"/>
        <v>1.822802855883289</v>
      </c>
      <c r="AX64" s="63">
        <f ca="1" t="shared" si="53"/>
        <v>0</v>
      </c>
      <c r="AY64" s="67">
        <f ca="1" t="shared" si="94"/>
        <v>37.49282819886983</v>
      </c>
      <c r="AZ64" s="65">
        <f ca="1" t="shared" si="54"/>
        <v>0.053868393606622655</v>
      </c>
      <c r="BA64" s="68">
        <f ca="1" t="shared" si="95"/>
        <v>0.01882686876708828</v>
      </c>
      <c r="BB64" s="169">
        <f t="shared" si="55"/>
        <v>39.47</v>
      </c>
      <c r="BC64" s="169">
        <f t="shared" si="56"/>
        <v>39.47</v>
      </c>
      <c r="BD64" s="169">
        <v>0</v>
      </c>
      <c r="BE64" s="171">
        <f t="shared" si="57"/>
        <v>0</v>
      </c>
      <c r="BF64" s="182">
        <v>0</v>
      </c>
      <c r="BG64" s="182">
        <f t="shared" si="58"/>
        <v>0</v>
      </c>
      <c r="BH64" s="182">
        <f t="shared" si="59"/>
        <v>0</v>
      </c>
      <c r="BI64" s="169">
        <f t="shared" si="60"/>
        <v>0</v>
      </c>
      <c r="BJ64" s="171">
        <f t="shared" si="61"/>
        <v>39.47</v>
      </c>
      <c r="BK64" s="171">
        <f t="shared" si="62"/>
        <v>0.7572864483138902</v>
      </c>
      <c r="BL64" s="171">
        <f t="shared" si="63"/>
        <v>40.22728644831389</v>
      </c>
      <c r="BM64" s="81">
        <f t="shared" si="64"/>
        <v>40.22728644831389</v>
      </c>
      <c r="BN64" s="63">
        <f t="shared" si="96"/>
        <v>39.47</v>
      </c>
      <c r="BO64" s="63">
        <f t="shared" si="65"/>
        <v>39.47</v>
      </c>
      <c r="BP64" s="63">
        <f t="shared" si="66"/>
        <v>0</v>
      </c>
      <c r="BQ64" s="63">
        <f t="shared" si="67"/>
        <v>0.7572864483138915</v>
      </c>
      <c r="BR64" s="67">
        <f t="shared" si="68"/>
        <v>34.790963136607154</v>
      </c>
      <c r="BS64" s="69">
        <f ca="1" t="shared" si="97"/>
        <v>1.11</v>
      </c>
      <c r="BT64" s="66">
        <f ca="1" t="shared" si="69"/>
        <v>43.8117</v>
      </c>
      <c r="BU64" s="66">
        <f ca="1" t="shared" si="70"/>
        <v>40.22728644831389</v>
      </c>
      <c r="BV64" s="66">
        <f ca="1" t="shared" si="71"/>
        <v>3.5844135516861115</v>
      </c>
      <c r="BW64" s="63">
        <f ca="1" t="shared" si="72"/>
        <v>0</v>
      </c>
      <c r="BX64" s="67">
        <f ca="1" t="shared" si="98"/>
        <v>37.353871710851436</v>
      </c>
      <c r="BY64" s="65">
        <f ca="1" t="shared" si="73"/>
        <v>0.07366592767728197</v>
      </c>
      <c r="BZ64" s="68">
        <f ca="1" t="shared" si="99"/>
        <v>0.015050877187266165</v>
      </c>
      <c r="CA64" s="81">
        <f t="shared" si="74"/>
        <v>39.47</v>
      </c>
      <c r="CB64" s="63">
        <f t="shared" si="75"/>
        <v>39.47</v>
      </c>
      <c r="CC64" s="67">
        <f t="shared" si="76"/>
        <v>35.90132553133049</v>
      </c>
      <c r="CD64" s="69">
        <f ca="1" t="shared" si="100"/>
        <v>1.11</v>
      </c>
      <c r="CE64" s="190">
        <f ca="1" t="shared" si="77"/>
        <v>43.8117</v>
      </c>
      <c r="CF64" s="70">
        <f ca="1" t="shared" si="78"/>
        <v>43.8117</v>
      </c>
      <c r="CG64" s="67">
        <f ca="1" t="shared" si="79"/>
        <v>39.30481757441425</v>
      </c>
      <c r="CH64" s="65">
        <f ca="1" t="shared" si="80"/>
        <v>0.09480129194989151</v>
      </c>
      <c r="CI64" s="65">
        <f ca="1" t="shared" si="101"/>
        <v>0.0680657112447225</v>
      </c>
      <c r="CJ64" s="68">
        <f ca="1" t="shared" si="81"/>
        <v>0.052228745621462735</v>
      </c>
      <c r="CL64" s="97">
        <f ca="1" t="shared" si="102"/>
        <v>14123489.890219267</v>
      </c>
      <c r="CM64" s="97">
        <f ca="1" t="shared" si="103"/>
        <v>14389390.980915725</v>
      </c>
      <c r="CN64" s="97">
        <f ca="1" t="shared" si="104"/>
        <v>14336060.802012553</v>
      </c>
      <c r="CO64" s="97">
        <f ca="1" t="shared" si="82"/>
        <v>15084815.274854692</v>
      </c>
      <c r="CQ64" s="97">
        <f t="shared" si="105"/>
        <v>11738133.406036446</v>
      </c>
      <c r="CR64" s="97">
        <f t="shared" si="106"/>
        <v>12300791.42402019</v>
      </c>
      <c r="CS64" s="97">
        <f t="shared" si="107"/>
        <v>12029225.999416508</v>
      </c>
      <c r="CT64" s="97">
        <f t="shared" si="83"/>
        <v>12413141.792001344</v>
      </c>
      <c r="CV64" s="97">
        <f ca="1" t="shared" si="108"/>
        <v>14123489.890219267</v>
      </c>
      <c r="CW64" s="97">
        <f ca="1" t="shared" si="84"/>
        <v>14389390.980915725</v>
      </c>
      <c r="CX64" s="97">
        <f ca="1" t="shared" si="85"/>
        <v>14389390.980915725</v>
      </c>
      <c r="CY64" s="97">
        <f ca="1" t="shared" si="86"/>
        <v>15084815.274854692</v>
      </c>
    </row>
    <row r="65" spans="2:103" ht="12.75">
      <c r="B65" s="14">
        <v>10123</v>
      </c>
      <c r="C65" s="15" t="s">
        <v>64</v>
      </c>
      <c r="D65" s="16">
        <f>RHWM!D52</f>
        <v>1</v>
      </c>
      <c r="E65" s="16">
        <f>RHWM!E52</f>
        <v>0</v>
      </c>
      <c r="F65" s="18">
        <f>RHWM!M52</f>
        <v>473.245</v>
      </c>
      <c r="G65" s="18">
        <f>RHWM!N52</f>
        <v>472.121</v>
      </c>
      <c r="H65" s="18">
        <f>RHWM!O52</f>
        <v>549.199</v>
      </c>
      <c r="I65" s="18">
        <v>0</v>
      </c>
      <c r="J65" s="18">
        <v>0</v>
      </c>
      <c r="K65" s="18">
        <v>0</v>
      </c>
      <c r="L65" s="18">
        <v>0</v>
      </c>
      <c r="M65" s="18">
        <v>0</v>
      </c>
      <c r="N65" s="18">
        <v>0</v>
      </c>
      <c r="O65" s="81">
        <f t="shared" si="28"/>
        <v>549.199</v>
      </c>
      <c r="P65" s="63">
        <f t="shared" si="29"/>
        <v>472.121</v>
      </c>
      <c r="Q65" s="63">
        <f t="shared" si="30"/>
        <v>472.121</v>
      </c>
      <c r="R65" s="63">
        <f t="shared" si="31"/>
        <v>0</v>
      </c>
      <c r="S65" s="63">
        <f t="shared" si="32"/>
        <v>77.07799999999997</v>
      </c>
      <c r="T65" s="67">
        <f t="shared" si="87"/>
        <v>33.949064274110405</v>
      </c>
      <c r="U65" s="138">
        <f ca="1" t="shared" si="88"/>
        <v>1.23</v>
      </c>
      <c r="V65" s="66">
        <f ca="1" t="shared" si="89"/>
        <v>580.7088299999999</v>
      </c>
      <c r="W65" s="66">
        <f ca="1" t="shared" si="33"/>
        <v>549.199</v>
      </c>
      <c r="X65" s="66">
        <f ca="1" t="shared" si="34"/>
        <v>31.509829999999965</v>
      </c>
      <c r="Y65" s="63">
        <f ca="1" t="shared" si="35"/>
        <v>0</v>
      </c>
      <c r="Z65" s="67">
        <f ca="1" t="shared" si="90"/>
        <v>36.43977168421452</v>
      </c>
      <c r="AA65" s="68">
        <f ca="1" t="shared" si="91"/>
        <v>0.07336601062090331</v>
      </c>
      <c r="AB65" s="169">
        <f t="shared" si="36"/>
        <v>472.121</v>
      </c>
      <c r="AC65" s="169">
        <f t="shared" si="37"/>
        <v>472.121</v>
      </c>
      <c r="AD65" s="169">
        <v>9.5685</v>
      </c>
      <c r="AE65" s="171">
        <f t="shared" si="38"/>
        <v>4.78425</v>
      </c>
      <c r="AF65" s="182">
        <v>0</v>
      </c>
      <c r="AG65" s="182">
        <f t="shared" si="39"/>
        <v>0</v>
      </c>
      <c r="AH65" s="182">
        <f t="shared" si="40"/>
        <v>0</v>
      </c>
      <c r="AI65" s="182">
        <v>0</v>
      </c>
      <c r="AJ65" s="171">
        <f t="shared" si="41"/>
        <v>0</v>
      </c>
      <c r="AK65" s="171">
        <f t="shared" si="42"/>
        <v>476.90524999999997</v>
      </c>
      <c r="AL65" s="171">
        <f t="shared" si="43"/>
        <v>30.435147510495725</v>
      </c>
      <c r="AM65" s="171">
        <f t="shared" si="44"/>
        <v>507.3403975104957</v>
      </c>
      <c r="AN65" s="81">
        <f t="shared" si="45"/>
        <v>507.3403975104957</v>
      </c>
      <c r="AO65" s="63">
        <f t="shared" si="46"/>
        <v>472.121</v>
      </c>
      <c r="AP65" s="63">
        <f t="shared" si="47"/>
        <v>472.121</v>
      </c>
      <c r="AQ65" s="63">
        <f t="shared" si="48"/>
        <v>0</v>
      </c>
      <c r="AR65" s="63">
        <f t="shared" si="49"/>
        <v>35.219397510495696</v>
      </c>
      <c r="AS65" s="67">
        <f t="shared" si="92"/>
        <v>35.5763854636149</v>
      </c>
      <c r="AT65" s="65">
        <f ca="1" t="shared" si="93"/>
        <v>1.23</v>
      </c>
      <c r="AU65" s="66">
        <f ca="1" t="shared" si="50"/>
        <v>580.7088299999999</v>
      </c>
      <c r="AV65" s="66">
        <f ca="1" t="shared" si="51"/>
        <v>507.3403975104957</v>
      </c>
      <c r="AW65" s="66">
        <f ca="1" t="shared" si="52"/>
        <v>73.36843248950424</v>
      </c>
      <c r="AX65" s="63">
        <f ca="1" t="shared" si="53"/>
        <v>0</v>
      </c>
      <c r="AY65" s="67">
        <f ca="1" t="shared" si="94"/>
        <v>39.75868245327329</v>
      </c>
      <c r="AZ65" s="65">
        <f ca="1" t="shared" si="54"/>
        <v>0.11755823238242558</v>
      </c>
      <c r="BA65" s="68">
        <f ca="1" t="shared" si="95"/>
        <v>0.09107935136971501</v>
      </c>
      <c r="BB65" s="169">
        <f t="shared" si="55"/>
        <v>472.121</v>
      </c>
      <c r="BC65" s="169">
        <f t="shared" si="56"/>
        <v>472.121</v>
      </c>
      <c r="BD65" s="169">
        <v>9.5685</v>
      </c>
      <c r="BE65" s="171">
        <f t="shared" si="57"/>
        <v>4.78425</v>
      </c>
      <c r="BF65" s="182">
        <v>0</v>
      </c>
      <c r="BG65" s="182">
        <f t="shared" si="58"/>
        <v>0</v>
      </c>
      <c r="BH65" s="182">
        <f t="shared" si="59"/>
        <v>0</v>
      </c>
      <c r="BI65" s="169">
        <f t="shared" si="60"/>
        <v>0</v>
      </c>
      <c r="BJ65" s="171">
        <f t="shared" si="61"/>
        <v>476.90524999999997</v>
      </c>
      <c r="BK65" s="171">
        <f t="shared" si="62"/>
        <v>9.150085709519836</v>
      </c>
      <c r="BL65" s="171">
        <f t="shared" si="63"/>
        <v>486.0553357095198</v>
      </c>
      <c r="BM65" s="81">
        <f t="shared" si="64"/>
        <v>486.0553357095198</v>
      </c>
      <c r="BN65" s="63">
        <f t="shared" si="96"/>
        <v>472.121</v>
      </c>
      <c r="BO65" s="63">
        <f t="shared" si="65"/>
        <v>472.121</v>
      </c>
      <c r="BP65" s="63">
        <f t="shared" si="66"/>
        <v>0</v>
      </c>
      <c r="BQ65" s="63">
        <f t="shared" si="67"/>
        <v>13.934335709519814</v>
      </c>
      <c r="BR65" s="67">
        <f t="shared" si="68"/>
        <v>34.790963136607154</v>
      </c>
      <c r="BS65" s="69">
        <f ca="1" t="shared" si="97"/>
        <v>1.23</v>
      </c>
      <c r="BT65" s="66">
        <f ca="1" t="shared" si="69"/>
        <v>580.7088299999999</v>
      </c>
      <c r="BU65" s="66">
        <f ca="1" t="shared" si="70"/>
        <v>486.0553357095198</v>
      </c>
      <c r="BV65" s="66">
        <f ca="1" t="shared" si="71"/>
        <v>94.65349429048013</v>
      </c>
      <c r="BW65" s="63">
        <f ca="1" t="shared" si="72"/>
        <v>0</v>
      </c>
      <c r="BX65" s="67">
        <f ca="1" t="shared" si="98"/>
        <v>39.63201195420431</v>
      </c>
      <c r="BY65" s="65">
        <f ca="1" t="shared" si="73"/>
        <v>0.1391467318277082</v>
      </c>
      <c r="BZ65" s="68">
        <f ca="1" t="shared" si="99"/>
        <v>0.0876031907568906</v>
      </c>
      <c r="CA65" s="81">
        <f t="shared" si="74"/>
        <v>472.121</v>
      </c>
      <c r="CB65" s="63">
        <f t="shared" si="75"/>
        <v>472.121</v>
      </c>
      <c r="CC65" s="67">
        <f t="shared" si="76"/>
        <v>35.90132553133049</v>
      </c>
      <c r="CD65" s="69">
        <f ca="1" t="shared" si="100"/>
        <v>1.23</v>
      </c>
      <c r="CE65" s="190">
        <f ca="1" t="shared" si="77"/>
        <v>580.7088299999999</v>
      </c>
      <c r="CF65" s="70">
        <f ca="1" t="shared" si="78"/>
        <v>580.7088299999999</v>
      </c>
      <c r="CG65" s="67">
        <f ca="1" t="shared" si="79"/>
        <v>39.30481757441425</v>
      </c>
      <c r="CH65" s="65">
        <f ca="1" t="shared" si="80"/>
        <v>0.09480129194989151</v>
      </c>
      <c r="CI65" s="65">
        <f ca="1" t="shared" si="101"/>
        <v>0.07862414493230352</v>
      </c>
      <c r="CJ65" s="68">
        <f ca="1" t="shared" si="81"/>
        <v>-0.00825581048391233</v>
      </c>
      <c r="CL65" s="97">
        <f ca="1" t="shared" si="102"/>
        <v>185369459.2986163</v>
      </c>
      <c r="CM65" s="97">
        <f ca="1" t="shared" si="103"/>
        <v>202252789.41528907</v>
      </c>
      <c r="CN65" s="97">
        <f ca="1" t="shared" si="104"/>
        <v>201608415.4020547</v>
      </c>
      <c r="CO65" s="97">
        <f ca="1" t="shared" si="82"/>
        <v>199943974.53253344</v>
      </c>
      <c r="CQ65" s="97">
        <f t="shared" si="105"/>
        <v>140405859.68561777</v>
      </c>
      <c r="CR65" s="97">
        <f t="shared" si="106"/>
        <v>147136102.0496538</v>
      </c>
      <c r="CS65" s="97">
        <f t="shared" si="107"/>
        <v>143887768.1294786</v>
      </c>
      <c r="CT65" s="97">
        <f t="shared" si="83"/>
        <v>148479982.669913</v>
      </c>
      <c r="CV65" s="97">
        <f ca="1" t="shared" si="108"/>
        <v>185369459.2986163</v>
      </c>
      <c r="CW65" s="97">
        <f ca="1" t="shared" si="84"/>
        <v>202252789.41528907</v>
      </c>
      <c r="CX65" s="97">
        <f ca="1" t="shared" si="85"/>
        <v>202252789.41528907</v>
      </c>
      <c r="CY65" s="97">
        <f ca="1" t="shared" si="86"/>
        <v>199943974.53253344</v>
      </c>
    </row>
    <row r="66" spans="2:103" ht="12.75">
      <c r="B66" s="14">
        <v>10136</v>
      </c>
      <c r="C66" s="15" t="s">
        <v>65</v>
      </c>
      <c r="D66" s="16">
        <f>RHWM!D53</f>
        <v>0</v>
      </c>
      <c r="E66" s="16">
        <f>RHWM!E53</f>
        <v>1</v>
      </c>
      <c r="F66" s="18">
        <f>RHWM!M53</f>
        <v>18.396</v>
      </c>
      <c r="G66" s="18">
        <f>RHWM!N53</f>
        <v>18.434</v>
      </c>
      <c r="H66" s="18">
        <f>RHWM!O53</f>
        <v>18.537</v>
      </c>
      <c r="I66" s="18">
        <v>0</v>
      </c>
      <c r="J66" s="18">
        <v>0</v>
      </c>
      <c r="K66" s="18">
        <v>0</v>
      </c>
      <c r="L66" s="18">
        <v>0</v>
      </c>
      <c r="M66" s="18">
        <v>0</v>
      </c>
      <c r="N66" s="18">
        <v>0</v>
      </c>
      <c r="O66" s="81">
        <f t="shared" si="28"/>
        <v>18.537</v>
      </c>
      <c r="P66" s="63">
        <f t="shared" si="29"/>
        <v>18.434</v>
      </c>
      <c r="Q66" s="63">
        <f t="shared" si="30"/>
        <v>18.434</v>
      </c>
      <c r="R66" s="63">
        <f t="shared" si="31"/>
        <v>0</v>
      </c>
      <c r="S66" s="63">
        <f t="shared" si="32"/>
        <v>0.10299999999999798</v>
      </c>
      <c r="T66" s="67">
        <f t="shared" si="87"/>
        <v>33.949064274110405</v>
      </c>
      <c r="U66" s="138">
        <f ca="1" t="shared" si="88"/>
        <v>1.12</v>
      </c>
      <c r="V66" s="66">
        <f ca="1" t="shared" si="89"/>
        <v>20.646080000000005</v>
      </c>
      <c r="W66" s="66">
        <f ca="1" t="shared" si="33"/>
        <v>18.537</v>
      </c>
      <c r="X66" s="66">
        <f ca="1" t="shared" si="34"/>
        <v>2.109080000000006</v>
      </c>
      <c r="Y66" s="63">
        <f ca="1" t="shared" si="35"/>
        <v>0</v>
      </c>
      <c r="Z66" s="67">
        <f ca="1" t="shared" si="90"/>
        <v>37.790881382149955</v>
      </c>
      <c r="AA66" s="68">
        <f ca="1" t="shared" si="91"/>
        <v>0.11316415312716943</v>
      </c>
      <c r="AB66" s="169">
        <f t="shared" si="36"/>
        <v>18.434</v>
      </c>
      <c r="AC66" s="169">
        <f t="shared" si="37"/>
        <v>18.434</v>
      </c>
      <c r="AD66" s="169">
        <v>0.003</v>
      </c>
      <c r="AE66" s="171">
        <f t="shared" si="38"/>
        <v>0.0015</v>
      </c>
      <c r="AF66" s="182">
        <v>0</v>
      </c>
      <c r="AG66" s="182">
        <f t="shared" si="39"/>
        <v>0</v>
      </c>
      <c r="AH66" s="182">
        <f t="shared" si="40"/>
        <v>0</v>
      </c>
      <c r="AI66" s="182">
        <v>0</v>
      </c>
      <c r="AJ66" s="171">
        <f t="shared" si="41"/>
        <v>0</v>
      </c>
      <c r="AK66" s="171">
        <f t="shared" si="42"/>
        <v>18.4355</v>
      </c>
      <c r="AL66" s="171">
        <f t="shared" si="43"/>
        <v>1.1765170585346756</v>
      </c>
      <c r="AM66" s="171">
        <f t="shared" si="44"/>
        <v>19.612017058534676</v>
      </c>
      <c r="AN66" s="81">
        <f t="shared" si="45"/>
        <v>19.612017058534676</v>
      </c>
      <c r="AO66" s="63">
        <f t="shared" si="46"/>
        <v>18.434</v>
      </c>
      <c r="AP66" s="63">
        <f t="shared" si="47"/>
        <v>18.434</v>
      </c>
      <c r="AQ66" s="63">
        <f t="shared" si="48"/>
        <v>0</v>
      </c>
      <c r="AR66" s="63">
        <f t="shared" si="49"/>
        <v>1.1780170585346745</v>
      </c>
      <c r="AS66" s="67">
        <f t="shared" si="92"/>
        <v>35.5763854636149</v>
      </c>
      <c r="AT66" s="65">
        <f ca="1" t="shared" si="93"/>
        <v>1.12</v>
      </c>
      <c r="AU66" s="66">
        <f ca="1" t="shared" si="50"/>
        <v>20.646080000000005</v>
      </c>
      <c r="AV66" s="66">
        <f ca="1" t="shared" si="51"/>
        <v>19.612017058534676</v>
      </c>
      <c r="AW66" s="66">
        <f ca="1" t="shared" si="52"/>
        <v>1.0340629414653293</v>
      </c>
      <c r="AX66" s="63">
        <f ca="1" t="shared" si="53"/>
        <v>0</v>
      </c>
      <c r="AY66" s="67">
        <f ca="1" t="shared" si="94"/>
        <v>37.71957553341331</v>
      </c>
      <c r="AZ66" s="65">
        <f ca="1" t="shared" si="54"/>
        <v>0.060241928511549414</v>
      </c>
      <c r="BA66" s="68">
        <f ca="1" t="shared" si="95"/>
        <v>-0.0018868532865264909</v>
      </c>
      <c r="BB66" s="169">
        <f t="shared" si="55"/>
        <v>18.434</v>
      </c>
      <c r="BC66" s="169">
        <f t="shared" si="56"/>
        <v>18.434</v>
      </c>
      <c r="BD66" s="169">
        <v>0.003</v>
      </c>
      <c r="BE66" s="171">
        <f t="shared" si="57"/>
        <v>0.0015</v>
      </c>
      <c r="BF66" s="182">
        <v>0</v>
      </c>
      <c r="BG66" s="182">
        <f t="shared" si="58"/>
        <v>0</v>
      </c>
      <c r="BH66" s="182">
        <f t="shared" si="59"/>
        <v>0</v>
      </c>
      <c r="BI66" s="169">
        <f t="shared" si="60"/>
        <v>0</v>
      </c>
      <c r="BJ66" s="171">
        <f t="shared" si="61"/>
        <v>18.4355</v>
      </c>
      <c r="BK66" s="171">
        <f t="shared" si="62"/>
        <v>0.3537105223686528</v>
      </c>
      <c r="BL66" s="171">
        <f t="shared" si="63"/>
        <v>18.789210522368656</v>
      </c>
      <c r="BM66" s="81">
        <f t="shared" si="64"/>
        <v>18.789210522368656</v>
      </c>
      <c r="BN66" s="63">
        <f t="shared" si="96"/>
        <v>18.434</v>
      </c>
      <c r="BO66" s="63">
        <f t="shared" si="65"/>
        <v>18.434</v>
      </c>
      <c r="BP66" s="63">
        <f t="shared" si="66"/>
        <v>0</v>
      </c>
      <c r="BQ66" s="63">
        <f t="shared" si="67"/>
        <v>0.3552105223686546</v>
      </c>
      <c r="BR66" s="67">
        <f t="shared" si="68"/>
        <v>34.790963136607154</v>
      </c>
      <c r="BS66" s="69">
        <f ca="1" t="shared" si="97"/>
        <v>1.12</v>
      </c>
      <c r="BT66" s="66">
        <f ca="1" t="shared" si="69"/>
        <v>20.646080000000005</v>
      </c>
      <c r="BU66" s="66">
        <f ca="1" t="shared" si="70"/>
        <v>18.789210522368656</v>
      </c>
      <c r="BV66" s="66">
        <f ca="1" t="shared" si="71"/>
        <v>1.8568694776313492</v>
      </c>
      <c r="BW66" s="63">
        <f ca="1" t="shared" si="72"/>
        <v>0</v>
      </c>
      <c r="BX66" s="67">
        <f ca="1" t="shared" si="98"/>
        <v>37.58184852219868</v>
      </c>
      <c r="BY66" s="65">
        <f ca="1" t="shared" si="73"/>
        <v>0.08021868709506785</v>
      </c>
      <c r="BZ66" s="68">
        <f ca="1" t="shared" si="99"/>
        <v>-0.005531304174609897</v>
      </c>
      <c r="CA66" s="81">
        <f t="shared" si="74"/>
        <v>18.434</v>
      </c>
      <c r="CB66" s="63">
        <f t="shared" si="75"/>
        <v>18.434</v>
      </c>
      <c r="CC66" s="67">
        <f t="shared" si="76"/>
        <v>35.90132553133049</v>
      </c>
      <c r="CD66" s="69">
        <f ca="1" t="shared" si="100"/>
        <v>1.12</v>
      </c>
      <c r="CE66" s="190">
        <f ca="1" t="shared" si="77"/>
        <v>20.646080000000005</v>
      </c>
      <c r="CF66" s="70">
        <f ca="1" t="shared" si="78"/>
        <v>20.646080000000005</v>
      </c>
      <c r="CG66" s="67">
        <f ca="1" t="shared" si="79"/>
        <v>39.30481757441425</v>
      </c>
      <c r="CH66" s="65">
        <f ca="1" t="shared" si="80"/>
        <v>0.09480129194989151</v>
      </c>
      <c r="CI66" s="65">
        <f ca="1" t="shared" si="101"/>
        <v>0.04006088603637026</v>
      </c>
      <c r="CJ66" s="68">
        <f ca="1" t="shared" si="81"/>
        <v>0.04584577714951554</v>
      </c>
      <c r="CL66" s="97">
        <f ca="1" t="shared" si="102"/>
        <v>6834845.988108678</v>
      </c>
      <c r="CM66" s="97">
        <f ca="1" t="shared" si="103"/>
        <v>6821949.636493112</v>
      </c>
      <c r="CN66" s="97">
        <f ca="1" t="shared" si="104"/>
        <v>6797040.375961836</v>
      </c>
      <c r="CO66" s="97">
        <f ca="1" t="shared" si="82"/>
        <v>7108655.974314442</v>
      </c>
      <c r="CQ66" s="97">
        <f t="shared" si="105"/>
        <v>5482157.365261612</v>
      </c>
      <c r="CR66" s="97">
        <f t="shared" si="106"/>
        <v>5744940.185213787</v>
      </c>
      <c r="CS66" s="97">
        <f t="shared" si="107"/>
        <v>5618108.742671494</v>
      </c>
      <c r="CT66" s="97">
        <f t="shared" si="83"/>
        <v>5797412.105238225</v>
      </c>
      <c r="CV66" s="97">
        <f ca="1" t="shared" si="108"/>
        <v>6834845.988108678</v>
      </c>
      <c r="CW66" s="97">
        <f ca="1" t="shared" si="84"/>
        <v>6821949.636493112</v>
      </c>
      <c r="CX66" s="97">
        <f ca="1" t="shared" si="85"/>
        <v>6821949.636493112</v>
      </c>
      <c r="CY66" s="97">
        <f ca="1" t="shared" si="86"/>
        <v>7108655.974314442</v>
      </c>
    </row>
    <row r="67" spans="2:103" ht="12.75">
      <c r="B67" s="14">
        <v>10142</v>
      </c>
      <c r="C67" s="15" t="s">
        <v>66</v>
      </c>
      <c r="D67" s="16">
        <f>RHWM!D54</f>
        <v>1</v>
      </c>
      <c r="E67" s="16">
        <f>RHWM!E54</f>
        <v>0</v>
      </c>
      <c r="F67" s="18">
        <f>RHWM!M54</f>
        <v>3.314</v>
      </c>
      <c r="G67" s="18">
        <f>RHWM!N54</f>
        <v>3.347</v>
      </c>
      <c r="H67" s="18">
        <f>RHWM!O54</f>
        <v>2.687</v>
      </c>
      <c r="I67" s="18">
        <v>0.627</v>
      </c>
      <c r="J67" s="18">
        <v>0.66</v>
      </c>
      <c r="K67" s="18">
        <v>0.627</v>
      </c>
      <c r="L67" s="18">
        <v>0.66</v>
      </c>
      <c r="M67" s="18">
        <v>0</v>
      </c>
      <c r="N67" s="18">
        <v>0</v>
      </c>
      <c r="O67" s="81">
        <f t="shared" si="28"/>
        <v>2.687</v>
      </c>
      <c r="P67" s="63">
        <f t="shared" si="29"/>
        <v>3.347</v>
      </c>
      <c r="Q67" s="63">
        <f t="shared" si="30"/>
        <v>2.687</v>
      </c>
      <c r="R67" s="63">
        <f t="shared" si="31"/>
        <v>0.6600000000000001</v>
      </c>
      <c r="S67" s="63">
        <f t="shared" si="32"/>
        <v>0</v>
      </c>
      <c r="T67" s="67">
        <f t="shared" si="87"/>
        <v>39.70132527772174</v>
      </c>
      <c r="U67" s="138">
        <f ca="1" t="shared" si="88"/>
        <v>1.28</v>
      </c>
      <c r="V67" s="66">
        <f ca="1" t="shared" si="89"/>
        <v>4.28416</v>
      </c>
      <c r="W67" s="66">
        <f ca="1" t="shared" si="33"/>
        <v>2.687</v>
      </c>
      <c r="X67" s="66">
        <f ca="1" t="shared" si="34"/>
        <v>1.5971600000000001</v>
      </c>
      <c r="Y67" s="63">
        <f ca="1" t="shared" si="35"/>
        <v>0</v>
      </c>
      <c r="Z67" s="67">
        <f ca="1" t="shared" si="90"/>
        <v>45.42623649691744</v>
      </c>
      <c r="AA67" s="68">
        <f ca="1" t="shared" si="91"/>
        <v>0.14419949911365326</v>
      </c>
      <c r="AB67" s="169">
        <f t="shared" si="36"/>
        <v>2.687</v>
      </c>
      <c r="AC67" s="169">
        <f t="shared" si="37"/>
        <v>5</v>
      </c>
      <c r="AD67" s="169">
        <v>0</v>
      </c>
      <c r="AE67" s="171">
        <f t="shared" si="38"/>
        <v>0</v>
      </c>
      <c r="AF67" s="182">
        <v>0</v>
      </c>
      <c r="AG67" s="182">
        <f t="shared" si="39"/>
        <v>0</v>
      </c>
      <c r="AH67" s="182">
        <f t="shared" si="40"/>
        <v>0</v>
      </c>
      <c r="AI67" s="182">
        <v>0</v>
      </c>
      <c r="AJ67" s="171">
        <f t="shared" si="41"/>
        <v>0.33000000000000007</v>
      </c>
      <c r="AK67" s="171">
        <f t="shared" si="42"/>
        <v>5.33</v>
      </c>
      <c r="AL67" s="171">
        <f t="shared" si="43"/>
        <v>0.34015003238262154</v>
      </c>
      <c r="AM67" s="171">
        <f t="shared" si="44"/>
        <v>5.6701500323826215</v>
      </c>
      <c r="AN67" s="81">
        <f t="shared" si="45"/>
        <v>5.6701500323826215</v>
      </c>
      <c r="AO67" s="63">
        <f t="shared" si="46"/>
        <v>3.347</v>
      </c>
      <c r="AP67" s="63">
        <f t="shared" si="47"/>
        <v>3.347</v>
      </c>
      <c r="AQ67" s="63">
        <f t="shared" si="48"/>
        <v>0</v>
      </c>
      <c r="AR67" s="63">
        <f t="shared" si="49"/>
        <v>2.3231500323826215</v>
      </c>
      <c r="AS67" s="67">
        <f t="shared" si="92"/>
        <v>35.5763854636149</v>
      </c>
      <c r="AT67" s="65">
        <f ca="1" t="shared" si="93"/>
        <v>1.28</v>
      </c>
      <c r="AU67" s="66">
        <f ca="1" t="shared" si="50"/>
        <v>4.28416</v>
      </c>
      <c r="AV67" s="66">
        <f ca="1" t="shared" si="51"/>
        <v>4.28416</v>
      </c>
      <c r="AW67" s="66">
        <f ca="1" t="shared" si="52"/>
        <v>0</v>
      </c>
      <c r="AX67" s="63">
        <f ca="1" t="shared" si="53"/>
        <v>1.3859900323826215</v>
      </c>
      <c r="AY67" s="67">
        <f ca="1" t="shared" si="94"/>
        <v>36.38031310262951</v>
      </c>
      <c r="AZ67" s="65">
        <f ca="1" t="shared" si="54"/>
        <v>0.0225972264618286</v>
      </c>
      <c r="BA67" s="68">
        <f ca="1" t="shared" si="95"/>
        <v>-0.1991343349542456</v>
      </c>
      <c r="BB67" s="169">
        <f t="shared" si="55"/>
        <v>2.687</v>
      </c>
      <c r="BC67" s="169">
        <f t="shared" si="56"/>
        <v>5</v>
      </c>
      <c r="BD67" s="169">
        <v>0</v>
      </c>
      <c r="BE67" s="171">
        <f t="shared" si="57"/>
        <v>0</v>
      </c>
      <c r="BF67" s="182">
        <v>0</v>
      </c>
      <c r="BG67" s="182">
        <f t="shared" si="58"/>
        <v>0</v>
      </c>
      <c r="BH67" s="182">
        <f t="shared" si="59"/>
        <v>0</v>
      </c>
      <c r="BI67" s="169">
        <f t="shared" si="60"/>
        <v>0.16500000000000004</v>
      </c>
      <c r="BJ67" s="171">
        <f t="shared" si="61"/>
        <v>5.165</v>
      </c>
      <c r="BK67" s="171">
        <f t="shared" si="62"/>
        <v>0.09909765658832641</v>
      </c>
      <c r="BL67" s="171">
        <f t="shared" si="63"/>
        <v>5.264097656588326</v>
      </c>
      <c r="BM67" s="81">
        <f t="shared" si="64"/>
        <v>5.264097656588326</v>
      </c>
      <c r="BN67" s="63">
        <f t="shared" si="96"/>
        <v>3.347</v>
      </c>
      <c r="BO67" s="63">
        <f t="shared" si="65"/>
        <v>3.347</v>
      </c>
      <c r="BP67" s="63">
        <f t="shared" si="66"/>
        <v>0</v>
      </c>
      <c r="BQ67" s="63">
        <f t="shared" si="67"/>
        <v>1.9170976565883264</v>
      </c>
      <c r="BR67" s="67">
        <f t="shared" si="68"/>
        <v>34.790963136607154</v>
      </c>
      <c r="BS67" s="69">
        <f ca="1" t="shared" si="97"/>
        <v>1.28</v>
      </c>
      <c r="BT67" s="66">
        <f ca="1" t="shared" si="69"/>
        <v>4.28416</v>
      </c>
      <c r="BU67" s="66">
        <f ca="1" t="shared" si="70"/>
        <v>4.28416</v>
      </c>
      <c r="BV67" s="66">
        <f ca="1" t="shared" si="71"/>
        <v>0</v>
      </c>
      <c r="BW67" s="63">
        <f ca="1" t="shared" si="72"/>
        <v>0.9799376565883264</v>
      </c>
      <c r="BX67" s="67">
        <f ca="1" t="shared" si="98"/>
        <v>35.05800570624853</v>
      </c>
      <c r="BY67" s="65">
        <f ca="1" t="shared" si="73"/>
        <v>0.007675630266193778</v>
      </c>
      <c r="BZ67" s="68">
        <f ca="1" t="shared" si="99"/>
        <v>-0.2282432266069958</v>
      </c>
      <c r="CA67" s="81">
        <f t="shared" si="74"/>
        <v>3.347</v>
      </c>
      <c r="CB67" s="63">
        <f t="shared" si="75"/>
        <v>3.347</v>
      </c>
      <c r="CC67" s="67">
        <f t="shared" si="76"/>
        <v>35.90132553133049</v>
      </c>
      <c r="CD67" s="69">
        <f ca="1" t="shared" si="100"/>
        <v>1.28</v>
      </c>
      <c r="CE67" s="190">
        <f ca="1" t="shared" si="77"/>
        <v>4.28416</v>
      </c>
      <c r="CF67" s="70">
        <f ca="1" t="shared" si="78"/>
        <v>4.28416</v>
      </c>
      <c r="CG67" s="67">
        <f ca="1" t="shared" si="79"/>
        <v>39.30481757441425</v>
      </c>
      <c r="CH67" s="65">
        <f ca="1" t="shared" si="80"/>
        <v>0.09480129194989151</v>
      </c>
      <c r="CI67" s="65">
        <f ca="1" t="shared" si="101"/>
        <v>-0.1347551414020085</v>
      </c>
      <c r="CJ67" s="68">
        <f ca="1" t="shared" si="81"/>
        <v>0.12113672134546993</v>
      </c>
      <c r="CL67" s="97">
        <f ca="1" t="shared" si="102"/>
        <v>1704812.204471552</v>
      </c>
      <c r="CM67" s="97">
        <f ca="1" t="shared" si="103"/>
        <v>1365325.5599122285</v>
      </c>
      <c r="CN67" s="97">
        <f ca="1" t="shared" si="104"/>
        <v>1315700.3661639798</v>
      </c>
      <c r="CO67" s="97">
        <f ca="1" t="shared" si="82"/>
        <v>1475079.9947941185</v>
      </c>
      <c r="CQ67" s="97">
        <f t="shared" si="105"/>
        <v>1164031.7407717237</v>
      </c>
      <c r="CR67" s="97">
        <f t="shared" si="106"/>
        <v>1043089.660405259</v>
      </c>
      <c r="CS67" s="97">
        <f t="shared" si="107"/>
        <v>1020061.2976956435</v>
      </c>
      <c r="CT67" s="97">
        <f t="shared" si="83"/>
        <v>1052616.8122074613</v>
      </c>
      <c r="CV67" s="97">
        <f ca="1" t="shared" si="108"/>
        <v>1704812.2044715523</v>
      </c>
      <c r="CW67" s="97">
        <f ca="1" t="shared" si="84"/>
        <v>1365325.5599122283</v>
      </c>
      <c r="CX67" s="97">
        <f ca="1" t="shared" si="85"/>
        <v>1365325.5599122283</v>
      </c>
      <c r="CY67" s="97">
        <f ca="1" t="shared" si="86"/>
        <v>1475079.9947941185</v>
      </c>
    </row>
    <row r="68" spans="2:103" ht="12.75">
      <c r="B68" s="14">
        <v>10144</v>
      </c>
      <c r="C68" s="15" t="s">
        <v>67</v>
      </c>
      <c r="D68" s="16">
        <f>RHWM!D55</f>
        <v>1</v>
      </c>
      <c r="E68" s="16">
        <f>RHWM!E55</f>
        <v>0</v>
      </c>
      <c r="F68" s="18">
        <f>RHWM!M55</f>
        <v>3.257</v>
      </c>
      <c r="G68" s="18">
        <f>RHWM!N55</f>
        <v>3.258</v>
      </c>
      <c r="H68" s="18">
        <f>RHWM!O55</f>
        <v>3.368</v>
      </c>
      <c r="I68" s="18">
        <v>0</v>
      </c>
      <c r="J68" s="18">
        <v>0</v>
      </c>
      <c r="K68" s="18">
        <v>0</v>
      </c>
      <c r="L68" s="18">
        <v>0</v>
      </c>
      <c r="M68" s="18">
        <v>0</v>
      </c>
      <c r="N68" s="18">
        <v>0</v>
      </c>
      <c r="O68" s="81">
        <f t="shared" si="28"/>
        <v>3.368</v>
      </c>
      <c r="P68" s="63">
        <f t="shared" si="29"/>
        <v>3.258</v>
      </c>
      <c r="Q68" s="63">
        <f t="shared" si="30"/>
        <v>3.258</v>
      </c>
      <c r="R68" s="63">
        <f t="shared" si="31"/>
        <v>0</v>
      </c>
      <c r="S68" s="63">
        <f t="shared" si="32"/>
        <v>0.10999999999999988</v>
      </c>
      <c r="T68" s="67">
        <f t="shared" si="87"/>
        <v>33.949064274110405</v>
      </c>
      <c r="U68" s="138">
        <f ca="1" t="shared" si="88"/>
        <v>1.12</v>
      </c>
      <c r="V68" s="66">
        <f ca="1" t="shared" si="89"/>
        <v>3.64896</v>
      </c>
      <c r="W68" s="66">
        <f ca="1" t="shared" si="33"/>
        <v>3.368</v>
      </c>
      <c r="X68" s="66">
        <f ca="1" t="shared" si="34"/>
        <v>0.2809600000000003</v>
      </c>
      <c r="Y68" s="63">
        <f ca="1" t="shared" si="35"/>
        <v>0</v>
      </c>
      <c r="Z68" s="67">
        <f ca="1" t="shared" si="90"/>
        <v>37.081185128595095</v>
      </c>
      <c r="AA68" s="68">
        <f ca="1" t="shared" si="91"/>
        <v>0.09225941631838275</v>
      </c>
      <c r="AB68" s="169">
        <f t="shared" si="36"/>
        <v>3.258</v>
      </c>
      <c r="AC68" s="169">
        <f t="shared" si="37"/>
        <v>5</v>
      </c>
      <c r="AD68" s="169">
        <v>0</v>
      </c>
      <c r="AE68" s="171">
        <f t="shared" si="38"/>
        <v>0</v>
      </c>
      <c r="AF68" s="182">
        <v>0</v>
      </c>
      <c r="AG68" s="182">
        <f t="shared" si="39"/>
        <v>0</v>
      </c>
      <c r="AH68" s="182">
        <f t="shared" si="40"/>
        <v>0</v>
      </c>
      <c r="AI68" s="182">
        <v>0</v>
      </c>
      <c r="AJ68" s="171">
        <f t="shared" si="41"/>
        <v>0</v>
      </c>
      <c r="AK68" s="171">
        <f t="shared" si="42"/>
        <v>5</v>
      </c>
      <c r="AL68" s="171">
        <f t="shared" si="43"/>
        <v>0.31909008666287203</v>
      </c>
      <c r="AM68" s="171">
        <f t="shared" si="44"/>
        <v>5.319090086662872</v>
      </c>
      <c r="AN68" s="81">
        <f t="shared" si="45"/>
        <v>5.319090086662872</v>
      </c>
      <c r="AO68" s="63">
        <f t="shared" si="46"/>
        <v>3.258</v>
      </c>
      <c r="AP68" s="63">
        <f t="shared" si="47"/>
        <v>3.258</v>
      </c>
      <c r="AQ68" s="63">
        <f t="shared" si="48"/>
        <v>0</v>
      </c>
      <c r="AR68" s="63">
        <f t="shared" si="49"/>
        <v>2.0610900866628716</v>
      </c>
      <c r="AS68" s="67">
        <f t="shared" si="92"/>
        <v>35.5763854636149</v>
      </c>
      <c r="AT68" s="65">
        <f ca="1" t="shared" si="93"/>
        <v>1.12</v>
      </c>
      <c r="AU68" s="66">
        <f ca="1" t="shared" si="50"/>
        <v>3.64896</v>
      </c>
      <c r="AV68" s="66">
        <f ca="1" t="shared" si="51"/>
        <v>3.64896</v>
      </c>
      <c r="AW68" s="66">
        <f ca="1" t="shared" si="52"/>
        <v>0</v>
      </c>
      <c r="AX68" s="63">
        <f ca="1" t="shared" si="53"/>
        <v>1.6701300866628714</v>
      </c>
      <c r="AY68" s="67">
        <f ca="1" t="shared" si="94"/>
        <v>36.38031310262951</v>
      </c>
      <c r="AZ68" s="65">
        <f ca="1" t="shared" si="54"/>
        <v>0.0225972264618286</v>
      </c>
      <c r="BA68" s="68">
        <f ca="1" t="shared" si="95"/>
        <v>-0.01890101472040362</v>
      </c>
      <c r="BB68" s="169">
        <f t="shared" si="55"/>
        <v>3.258</v>
      </c>
      <c r="BC68" s="169">
        <f t="shared" si="56"/>
        <v>5</v>
      </c>
      <c r="BD68" s="169">
        <v>0</v>
      </c>
      <c r="BE68" s="171">
        <f t="shared" si="57"/>
        <v>0</v>
      </c>
      <c r="BF68" s="182">
        <v>0</v>
      </c>
      <c r="BG68" s="182">
        <f t="shared" si="58"/>
        <v>0</v>
      </c>
      <c r="BH68" s="182">
        <f t="shared" si="59"/>
        <v>0</v>
      </c>
      <c r="BI68" s="169">
        <f t="shared" si="60"/>
        <v>0</v>
      </c>
      <c r="BJ68" s="171">
        <f t="shared" si="61"/>
        <v>5</v>
      </c>
      <c r="BK68" s="171">
        <f t="shared" si="62"/>
        <v>0.09593190376411076</v>
      </c>
      <c r="BL68" s="171">
        <f t="shared" si="63"/>
        <v>5.095931903764111</v>
      </c>
      <c r="BM68" s="81">
        <f t="shared" si="64"/>
        <v>5.095931903764111</v>
      </c>
      <c r="BN68" s="63">
        <f t="shared" si="96"/>
        <v>3.258</v>
      </c>
      <c r="BO68" s="63">
        <f t="shared" si="65"/>
        <v>3.258</v>
      </c>
      <c r="BP68" s="63">
        <f t="shared" si="66"/>
        <v>0</v>
      </c>
      <c r="BQ68" s="63">
        <f t="shared" si="67"/>
        <v>1.8379319037641109</v>
      </c>
      <c r="BR68" s="67">
        <f t="shared" si="68"/>
        <v>34.790963136607154</v>
      </c>
      <c r="BS68" s="69">
        <f ca="1" t="shared" si="97"/>
        <v>1.12</v>
      </c>
      <c r="BT68" s="66">
        <f ca="1" t="shared" si="69"/>
        <v>3.64896</v>
      </c>
      <c r="BU68" s="66">
        <f ca="1" t="shared" si="70"/>
        <v>3.64896</v>
      </c>
      <c r="BV68" s="66">
        <f ca="1" t="shared" si="71"/>
        <v>0</v>
      </c>
      <c r="BW68" s="63">
        <f ca="1" t="shared" si="72"/>
        <v>1.4469719037641107</v>
      </c>
      <c r="BX68" s="67">
        <f ca="1" t="shared" si="98"/>
        <v>35.05800570624853</v>
      </c>
      <c r="BY68" s="65">
        <f ca="1" t="shared" si="73"/>
        <v>0.007675630266193778</v>
      </c>
      <c r="BZ68" s="68">
        <f ca="1" t="shared" si="99"/>
        <v>-0.054560808003582206</v>
      </c>
      <c r="CA68" s="81">
        <f t="shared" si="74"/>
        <v>3.258</v>
      </c>
      <c r="CB68" s="63">
        <f t="shared" si="75"/>
        <v>3.258</v>
      </c>
      <c r="CC68" s="67">
        <f t="shared" si="76"/>
        <v>35.90132553133049</v>
      </c>
      <c r="CD68" s="69">
        <f ca="1" t="shared" si="100"/>
        <v>1.12</v>
      </c>
      <c r="CE68" s="190">
        <f ca="1" t="shared" si="77"/>
        <v>3.64896</v>
      </c>
      <c r="CF68" s="70">
        <f ca="1" t="shared" si="78"/>
        <v>3.64896</v>
      </c>
      <c r="CG68" s="67">
        <f ca="1" t="shared" si="79"/>
        <v>39.30481757441425</v>
      </c>
      <c r="CH68" s="65">
        <f ca="1" t="shared" si="80"/>
        <v>0.09480129194989151</v>
      </c>
      <c r="CI68" s="65">
        <f ca="1" t="shared" si="101"/>
        <v>0.05996659594637399</v>
      </c>
      <c r="CJ68" s="68">
        <f ca="1" t="shared" si="81"/>
        <v>0.12113672134546993</v>
      </c>
      <c r="CL68" s="97">
        <f ca="1" t="shared" si="102"/>
        <v>1185295.988872704</v>
      </c>
      <c r="CM68" s="97">
        <f ca="1" t="shared" si="103"/>
        <v>1162892.6919389856</v>
      </c>
      <c r="CN68" s="97">
        <f ca="1" t="shared" si="104"/>
        <v>1120625.2819964043</v>
      </c>
      <c r="CO68" s="97">
        <f ca="1" t="shared" si="82"/>
        <v>1256374.1545142916</v>
      </c>
      <c r="CQ68" s="97">
        <f t="shared" si="105"/>
        <v>968909.010308253</v>
      </c>
      <c r="CR68" s="97">
        <f t="shared" si="106"/>
        <v>1015352.8872424064</v>
      </c>
      <c r="CS68" s="97">
        <f t="shared" si="107"/>
        <v>992936.8711958191</v>
      </c>
      <c r="CT68" s="97">
        <f t="shared" si="83"/>
        <v>1024626.7027702149</v>
      </c>
      <c r="CV68" s="97">
        <f ca="1" t="shared" si="108"/>
        <v>1185295.988872704</v>
      </c>
      <c r="CW68" s="97">
        <f ca="1" t="shared" si="84"/>
        <v>1162892.6919389856</v>
      </c>
      <c r="CX68" s="97">
        <f ca="1" t="shared" si="85"/>
        <v>1162892.6919389856</v>
      </c>
      <c r="CY68" s="97">
        <f ca="1" t="shared" si="86"/>
        <v>1256374.1545142913</v>
      </c>
    </row>
    <row r="69" spans="2:103" ht="12.75">
      <c r="B69" s="14">
        <v>10156</v>
      </c>
      <c r="C69" s="15" t="s">
        <v>68</v>
      </c>
      <c r="D69" s="16">
        <f>RHWM!D56</f>
        <v>1</v>
      </c>
      <c r="E69" s="16">
        <f>RHWM!E56</f>
        <v>0</v>
      </c>
      <c r="F69" s="18">
        <f>RHWM!M56</f>
        <v>32.879</v>
      </c>
      <c r="G69" s="18">
        <f>RHWM!N56</f>
        <v>33.006</v>
      </c>
      <c r="H69" s="18">
        <f>RHWM!O56</f>
        <v>32.238</v>
      </c>
      <c r="I69" s="18">
        <v>0.641</v>
      </c>
      <c r="J69" s="18">
        <v>0.768</v>
      </c>
      <c r="K69" s="18">
        <v>0.641</v>
      </c>
      <c r="L69" s="18">
        <v>0.768</v>
      </c>
      <c r="M69" s="18">
        <v>0</v>
      </c>
      <c r="N69" s="18">
        <v>0</v>
      </c>
      <c r="O69" s="81">
        <f t="shared" si="28"/>
        <v>32.238</v>
      </c>
      <c r="P69" s="63">
        <f t="shared" si="29"/>
        <v>33.006</v>
      </c>
      <c r="Q69" s="63">
        <f t="shared" si="30"/>
        <v>32.238</v>
      </c>
      <c r="R69" s="63">
        <f t="shared" si="31"/>
        <v>0.7680000000000007</v>
      </c>
      <c r="S69" s="63">
        <f t="shared" si="32"/>
        <v>0</v>
      </c>
      <c r="T69" s="67">
        <f t="shared" si="87"/>
        <v>34.62782809394568</v>
      </c>
      <c r="U69" s="138">
        <f ca="1" t="shared" si="88"/>
        <v>1</v>
      </c>
      <c r="V69" s="66">
        <f ca="1" t="shared" si="89"/>
        <v>33.006</v>
      </c>
      <c r="W69" s="66">
        <f ca="1" t="shared" si="33"/>
        <v>32.238</v>
      </c>
      <c r="X69" s="66">
        <f ca="1" t="shared" si="34"/>
        <v>0.7680000000000007</v>
      </c>
      <c r="Y69" s="63">
        <f ca="1" t="shared" si="35"/>
        <v>0</v>
      </c>
      <c r="Z69" s="67">
        <f ca="1" t="shared" si="90"/>
        <v>35.565443243993556</v>
      </c>
      <c r="AA69" s="68">
        <f ca="1" t="shared" si="91"/>
        <v>0.02707692632365255</v>
      </c>
      <c r="AB69" s="169">
        <f t="shared" si="36"/>
        <v>32.238</v>
      </c>
      <c r="AC69" s="169">
        <f t="shared" si="37"/>
        <v>32.238</v>
      </c>
      <c r="AD69" s="169">
        <v>0.006</v>
      </c>
      <c r="AE69" s="171">
        <f t="shared" si="38"/>
        <v>0.003</v>
      </c>
      <c r="AF69" s="182">
        <v>0</v>
      </c>
      <c r="AG69" s="182">
        <f t="shared" si="39"/>
        <v>0</v>
      </c>
      <c r="AH69" s="182">
        <f t="shared" si="40"/>
        <v>0</v>
      </c>
      <c r="AI69" s="182">
        <v>0</v>
      </c>
      <c r="AJ69" s="171">
        <f t="shared" si="41"/>
        <v>0.38400000000000034</v>
      </c>
      <c r="AK69" s="171">
        <f t="shared" si="42"/>
        <v>32.625</v>
      </c>
      <c r="AL69" s="171">
        <f t="shared" si="43"/>
        <v>2.08206281547524</v>
      </c>
      <c r="AM69" s="171">
        <f t="shared" si="44"/>
        <v>34.70706281547524</v>
      </c>
      <c r="AN69" s="81">
        <f t="shared" si="45"/>
        <v>34.70706281547524</v>
      </c>
      <c r="AO69" s="63">
        <f t="shared" si="46"/>
        <v>33.006</v>
      </c>
      <c r="AP69" s="63">
        <f t="shared" si="47"/>
        <v>33.006</v>
      </c>
      <c r="AQ69" s="63">
        <f t="shared" si="48"/>
        <v>0</v>
      </c>
      <c r="AR69" s="63">
        <f t="shared" si="49"/>
        <v>1.7010628154752396</v>
      </c>
      <c r="AS69" s="67">
        <f t="shared" si="92"/>
        <v>35.5763854636149</v>
      </c>
      <c r="AT69" s="65">
        <f ca="1" t="shared" si="93"/>
        <v>1</v>
      </c>
      <c r="AU69" s="66">
        <f ca="1" t="shared" si="50"/>
        <v>33.006</v>
      </c>
      <c r="AV69" s="66">
        <f ca="1" t="shared" si="51"/>
        <v>33.006</v>
      </c>
      <c r="AW69" s="66">
        <f ca="1" t="shared" si="52"/>
        <v>0</v>
      </c>
      <c r="AX69" s="63">
        <f ca="1" t="shared" si="53"/>
        <v>1.7010628154752396</v>
      </c>
      <c r="AY69" s="67">
        <f ca="1" t="shared" si="94"/>
        <v>36.38031310262951</v>
      </c>
      <c r="AZ69" s="65">
        <f ca="1" t="shared" si="54"/>
        <v>0.0225972264618286</v>
      </c>
      <c r="BA69" s="68">
        <f ca="1" t="shared" si="95"/>
        <v>0.022911843191313785</v>
      </c>
      <c r="BB69" s="169">
        <f t="shared" si="55"/>
        <v>32.238</v>
      </c>
      <c r="BC69" s="169">
        <f t="shared" si="56"/>
        <v>32.238</v>
      </c>
      <c r="BD69" s="169">
        <v>0.006</v>
      </c>
      <c r="BE69" s="171">
        <f t="shared" si="57"/>
        <v>0.003</v>
      </c>
      <c r="BF69" s="182">
        <v>0</v>
      </c>
      <c r="BG69" s="182">
        <f t="shared" si="58"/>
        <v>0</v>
      </c>
      <c r="BH69" s="182">
        <f t="shared" si="59"/>
        <v>0</v>
      </c>
      <c r="BI69" s="169">
        <f t="shared" si="60"/>
        <v>0.19200000000000017</v>
      </c>
      <c r="BJ69" s="171">
        <f t="shared" si="61"/>
        <v>32.433</v>
      </c>
      <c r="BK69" s="171">
        <f t="shared" si="62"/>
        <v>0.6222718869562808</v>
      </c>
      <c r="BL69" s="171">
        <f t="shared" si="63"/>
        <v>33.055271886956284</v>
      </c>
      <c r="BM69" s="81">
        <f t="shared" si="64"/>
        <v>33.055271886956284</v>
      </c>
      <c r="BN69" s="63">
        <f t="shared" si="96"/>
        <v>33.006</v>
      </c>
      <c r="BO69" s="63">
        <f t="shared" si="65"/>
        <v>33.006</v>
      </c>
      <c r="BP69" s="63">
        <f t="shared" si="66"/>
        <v>0</v>
      </c>
      <c r="BQ69" s="63">
        <f t="shared" si="67"/>
        <v>0.049271886956283595</v>
      </c>
      <c r="BR69" s="67">
        <f t="shared" si="68"/>
        <v>34.790963136607154</v>
      </c>
      <c r="BS69" s="69">
        <f ca="1" t="shared" si="97"/>
        <v>1</v>
      </c>
      <c r="BT69" s="66">
        <f ca="1" t="shared" si="69"/>
        <v>33.006</v>
      </c>
      <c r="BU69" s="66">
        <f ca="1" t="shared" si="70"/>
        <v>33.006</v>
      </c>
      <c r="BV69" s="66">
        <f ca="1" t="shared" si="71"/>
        <v>0</v>
      </c>
      <c r="BW69" s="63">
        <f ca="1" t="shared" si="72"/>
        <v>0.049271886956283595</v>
      </c>
      <c r="BX69" s="67">
        <f ca="1" t="shared" si="98"/>
        <v>35.05800570624853</v>
      </c>
      <c r="BY69" s="65">
        <f ca="1" t="shared" si="73"/>
        <v>0.007675630266193778</v>
      </c>
      <c r="BZ69" s="68">
        <f ca="1" t="shared" si="99"/>
        <v>-0.014267713023110584</v>
      </c>
      <c r="CA69" s="81">
        <f t="shared" si="74"/>
        <v>33.006</v>
      </c>
      <c r="CB69" s="63">
        <f t="shared" si="75"/>
        <v>33.006</v>
      </c>
      <c r="CC69" s="67">
        <f t="shared" si="76"/>
        <v>35.90132553133049</v>
      </c>
      <c r="CD69" s="69">
        <f ca="1" t="shared" si="100"/>
        <v>1</v>
      </c>
      <c r="CE69" s="190">
        <f ca="1" t="shared" si="77"/>
        <v>33.006</v>
      </c>
      <c r="CF69" s="70">
        <f ca="1" t="shared" si="78"/>
        <v>33.006</v>
      </c>
      <c r="CG69" s="67">
        <f ca="1" t="shared" si="79"/>
        <v>39.30481757441425</v>
      </c>
      <c r="CH69" s="65">
        <f ca="1" t="shared" si="80"/>
        <v>0.09480129194989151</v>
      </c>
      <c r="CI69" s="65">
        <f ca="1" t="shared" si="101"/>
        <v>0.10514066434564162</v>
      </c>
      <c r="CJ69" s="68">
        <f ca="1" t="shared" si="81"/>
        <v>0.12113672134546993</v>
      </c>
      <c r="CL69" s="97">
        <f ca="1" t="shared" si="102"/>
        <v>10283127.652670564</v>
      </c>
      <c r="CM69" s="97">
        <f ca="1" t="shared" si="103"/>
        <v>10518733.060964812</v>
      </c>
      <c r="CN69" s="97">
        <f ca="1" t="shared" si="104"/>
        <v>10136410.938342245</v>
      </c>
      <c r="CO69" s="97">
        <f ca="1" t="shared" si="82"/>
        <v>11364302.525623383</v>
      </c>
      <c r="CQ69" s="97">
        <f t="shared" si="105"/>
        <v>10012032.584042437</v>
      </c>
      <c r="CR69" s="97">
        <f t="shared" si="106"/>
        <v>10286291.404641762</v>
      </c>
      <c r="CS69" s="97">
        <f t="shared" si="107"/>
        <v>10059200.236552857</v>
      </c>
      <c r="CT69" s="97">
        <f t="shared" si="83"/>
        <v>10380242.158266945</v>
      </c>
      <c r="CV69" s="97">
        <f ca="1" t="shared" si="108"/>
        <v>10283127.65267056</v>
      </c>
      <c r="CW69" s="97">
        <f ca="1" t="shared" si="84"/>
        <v>10518733.060964812</v>
      </c>
      <c r="CX69" s="97">
        <f ca="1" t="shared" si="85"/>
        <v>10518733.060964812</v>
      </c>
      <c r="CY69" s="97">
        <f ca="1" t="shared" si="86"/>
        <v>11364302.525623383</v>
      </c>
    </row>
    <row r="70" spans="2:103" ht="12.75">
      <c r="B70" s="14">
        <v>10157</v>
      </c>
      <c r="C70" s="15" t="s">
        <v>69</v>
      </c>
      <c r="D70" s="16">
        <f>RHWM!D57</f>
        <v>1</v>
      </c>
      <c r="E70" s="16">
        <f>RHWM!E57</f>
        <v>0</v>
      </c>
      <c r="F70" s="18">
        <f>RHWM!M57</f>
        <v>54.767</v>
      </c>
      <c r="G70" s="18">
        <f>RHWM!N57</f>
        <v>55.836</v>
      </c>
      <c r="H70" s="18">
        <f>RHWM!O57</f>
        <v>49.958</v>
      </c>
      <c r="I70" s="18">
        <v>4.809</v>
      </c>
      <c r="J70" s="18">
        <v>5.878</v>
      </c>
      <c r="K70" s="18">
        <v>0</v>
      </c>
      <c r="L70" s="18">
        <v>0</v>
      </c>
      <c r="M70" s="18">
        <v>4.809</v>
      </c>
      <c r="N70" s="18">
        <v>5.878</v>
      </c>
      <c r="O70" s="81">
        <f t="shared" si="28"/>
        <v>49.958</v>
      </c>
      <c r="P70" s="63">
        <f t="shared" si="29"/>
        <v>55.836</v>
      </c>
      <c r="Q70" s="63">
        <f t="shared" si="30"/>
        <v>49.958</v>
      </c>
      <c r="R70" s="63">
        <f t="shared" si="31"/>
        <v>5.878</v>
      </c>
      <c r="S70" s="63">
        <f t="shared" si="32"/>
        <v>0</v>
      </c>
      <c r="T70" s="67">
        <f t="shared" si="87"/>
        <v>37.0199640555557</v>
      </c>
      <c r="U70" s="138">
        <f ca="1" t="shared" si="88"/>
        <v>0.93</v>
      </c>
      <c r="V70" s="66">
        <f ca="1" t="shared" si="89"/>
        <v>51.92748</v>
      </c>
      <c r="W70" s="66">
        <f ca="1" t="shared" si="33"/>
        <v>49.958</v>
      </c>
      <c r="X70" s="66">
        <f ca="1" t="shared" si="34"/>
        <v>1.9694800000000043</v>
      </c>
      <c r="Y70" s="63">
        <f ca="1" t="shared" si="35"/>
        <v>0</v>
      </c>
      <c r="Z70" s="67">
        <f ca="1" t="shared" si="90"/>
        <v>35.9789884253462</v>
      </c>
      <c r="AA70" s="68">
        <f ca="1" t="shared" si="91"/>
        <v>-0.028119304185366234</v>
      </c>
      <c r="AB70" s="169">
        <f t="shared" si="36"/>
        <v>49.958</v>
      </c>
      <c r="AC70" s="169">
        <f t="shared" si="37"/>
        <v>49.958</v>
      </c>
      <c r="AD70" s="169">
        <v>0.5865</v>
      </c>
      <c r="AE70" s="171">
        <f t="shared" si="38"/>
        <v>0.29325</v>
      </c>
      <c r="AF70" s="182">
        <v>0</v>
      </c>
      <c r="AG70" s="182">
        <f t="shared" si="39"/>
        <v>0</v>
      </c>
      <c r="AH70" s="182">
        <f t="shared" si="40"/>
        <v>0</v>
      </c>
      <c r="AI70" s="182">
        <v>0</v>
      </c>
      <c r="AJ70" s="171">
        <f t="shared" si="41"/>
        <v>2.939</v>
      </c>
      <c r="AK70" s="171">
        <f t="shared" si="42"/>
        <v>53.19025</v>
      </c>
      <c r="AL70" s="171">
        <f t="shared" si="43"/>
        <v>3.3944962964239656</v>
      </c>
      <c r="AM70" s="171">
        <f t="shared" si="44"/>
        <v>56.584746296423965</v>
      </c>
      <c r="AN70" s="81">
        <f t="shared" si="45"/>
        <v>56.584746296423965</v>
      </c>
      <c r="AO70" s="63">
        <f t="shared" si="46"/>
        <v>55.836</v>
      </c>
      <c r="AP70" s="63">
        <f t="shared" si="47"/>
        <v>55.836</v>
      </c>
      <c r="AQ70" s="63">
        <f t="shared" si="48"/>
        <v>0</v>
      </c>
      <c r="AR70" s="63">
        <f t="shared" si="49"/>
        <v>0.7487462964239668</v>
      </c>
      <c r="AS70" s="67">
        <f t="shared" si="92"/>
        <v>35.5763854636149</v>
      </c>
      <c r="AT70" s="65">
        <f ca="1" t="shared" si="93"/>
        <v>0.93</v>
      </c>
      <c r="AU70" s="66">
        <f ca="1" t="shared" si="50"/>
        <v>51.92748</v>
      </c>
      <c r="AV70" s="66">
        <f ca="1" t="shared" si="51"/>
        <v>51.92748</v>
      </c>
      <c r="AW70" s="66">
        <f ca="1" t="shared" si="52"/>
        <v>0</v>
      </c>
      <c r="AX70" s="63">
        <f ca="1" t="shared" si="53"/>
        <v>4.657266296423963</v>
      </c>
      <c r="AY70" s="67">
        <f ca="1" t="shared" si="94"/>
        <v>36.38031310262951</v>
      </c>
      <c r="AZ70" s="65">
        <f ca="1" t="shared" si="54"/>
        <v>0.0225972264618286</v>
      </c>
      <c r="BA70" s="68">
        <f ca="1" t="shared" si="95"/>
        <v>0.011154418032514268</v>
      </c>
      <c r="BB70" s="169">
        <f t="shared" si="55"/>
        <v>49.958</v>
      </c>
      <c r="BC70" s="169">
        <f t="shared" si="56"/>
        <v>49.958</v>
      </c>
      <c r="BD70" s="169">
        <v>0.5865</v>
      </c>
      <c r="BE70" s="171">
        <f t="shared" si="57"/>
        <v>0.29325</v>
      </c>
      <c r="BF70" s="182">
        <v>0</v>
      </c>
      <c r="BG70" s="182">
        <f t="shared" si="58"/>
        <v>0</v>
      </c>
      <c r="BH70" s="182">
        <f t="shared" si="59"/>
        <v>0</v>
      </c>
      <c r="BI70" s="169">
        <f t="shared" si="60"/>
        <v>1.4695</v>
      </c>
      <c r="BJ70" s="171">
        <f t="shared" si="61"/>
        <v>51.720749999999995</v>
      </c>
      <c r="BK70" s="171">
        <f t="shared" si="62"/>
        <v>0.9923340023215262</v>
      </c>
      <c r="BL70" s="171">
        <f t="shared" si="63"/>
        <v>52.71308400232152</v>
      </c>
      <c r="BM70" s="81">
        <f t="shared" si="64"/>
        <v>52.71308400232152</v>
      </c>
      <c r="BN70" s="63">
        <f t="shared" si="96"/>
        <v>55.836</v>
      </c>
      <c r="BO70" s="63">
        <f t="shared" si="65"/>
        <v>52.71308400232152</v>
      </c>
      <c r="BP70" s="63">
        <f t="shared" si="66"/>
        <v>3.1229159976784757</v>
      </c>
      <c r="BQ70" s="63">
        <f t="shared" si="67"/>
        <v>0</v>
      </c>
      <c r="BR70" s="67">
        <f t="shared" si="68"/>
        <v>36.37541048991887</v>
      </c>
      <c r="BS70" s="69">
        <f ca="1" t="shared" si="97"/>
        <v>0.93</v>
      </c>
      <c r="BT70" s="66">
        <f ca="1" t="shared" si="69"/>
        <v>51.92748</v>
      </c>
      <c r="BU70" s="66">
        <f ca="1" t="shared" si="70"/>
        <v>51.92748</v>
      </c>
      <c r="BV70" s="66">
        <f ca="1" t="shared" si="71"/>
        <v>0</v>
      </c>
      <c r="BW70" s="63">
        <f ca="1" t="shared" si="72"/>
        <v>0.7856040023215201</v>
      </c>
      <c r="BX70" s="67">
        <f ca="1" t="shared" si="98"/>
        <v>35.05800570624853</v>
      </c>
      <c r="BY70" s="65">
        <f ca="1" t="shared" si="73"/>
        <v>-0.03621690493459717</v>
      </c>
      <c r="BZ70" s="68">
        <f ca="1" t="shared" si="99"/>
        <v>-0.02559779358468195</v>
      </c>
      <c r="CA70" s="81">
        <f t="shared" si="74"/>
        <v>55.836</v>
      </c>
      <c r="CB70" s="63">
        <f t="shared" si="75"/>
        <v>55.836</v>
      </c>
      <c r="CC70" s="67">
        <f t="shared" si="76"/>
        <v>35.90132553133049</v>
      </c>
      <c r="CD70" s="69">
        <f ca="1" t="shared" si="100"/>
        <v>0.93</v>
      </c>
      <c r="CE70" s="190">
        <f ca="1" t="shared" si="77"/>
        <v>51.92748</v>
      </c>
      <c r="CF70" s="70">
        <f ca="1" t="shared" si="78"/>
        <v>51.92748</v>
      </c>
      <c r="CG70" s="67">
        <f ca="1" t="shared" si="79"/>
        <v>39.30481757441425</v>
      </c>
      <c r="CH70" s="65">
        <f ca="1" t="shared" si="80"/>
        <v>0.09480129194989151</v>
      </c>
      <c r="CI70" s="65">
        <f ca="1" t="shared" si="101"/>
        <v>0.09243809497226141</v>
      </c>
      <c r="CJ70" s="68">
        <f ca="1" t="shared" si="81"/>
        <v>0.12113672134546993</v>
      </c>
      <c r="CL70" s="97">
        <f ca="1" t="shared" si="102"/>
        <v>16366292.248445991</v>
      </c>
      <c r="CM70" s="97">
        <f ca="1" t="shared" si="103"/>
        <v>16548848.71382746</v>
      </c>
      <c r="CN70" s="97">
        <f ca="1" t="shared" si="104"/>
        <v>15947351.277723692</v>
      </c>
      <c r="CO70" s="97">
        <f ca="1" t="shared" si="82"/>
        <v>17879161.12565163</v>
      </c>
      <c r="CQ70" s="97">
        <f t="shared" si="105"/>
        <v>18107329.205932625</v>
      </c>
      <c r="CR70" s="97">
        <f t="shared" si="106"/>
        <v>17401241.194618475</v>
      </c>
      <c r="CS70" s="97">
        <f t="shared" si="107"/>
        <v>17792063.00020836</v>
      </c>
      <c r="CT70" s="97">
        <f t="shared" si="83"/>
        <v>17560176.972338155</v>
      </c>
      <c r="CV70" s="97">
        <f ca="1" t="shared" si="108"/>
        <v>16366292.248445995</v>
      </c>
      <c r="CW70" s="97">
        <f ca="1" t="shared" si="84"/>
        <v>16548848.713827457</v>
      </c>
      <c r="CX70" s="97">
        <f ca="1" t="shared" si="85"/>
        <v>16548848.713827457</v>
      </c>
      <c r="CY70" s="97">
        <f ca="1" t="shared" si="86"/>
        <v>17879161.12565163</v>
      </c>
    </row>
    <row r="71" spans="2:103" ht="12.75">
      <c r="B71" s="14">
        <v>10158</v>
      </c>
      <c r="C71" s="15" t="s">
        <v>70</v>
      </c>
      <c r="D71" s="16">
        <f>RHWM!D58</f>
        <v>1</v>
      </c>
      <c r="E71" s="16">
        <f>RHWM!E58</f>
        <v>0</v>
      </c>
      <c r="F71" s="18">
        <f>RHWM!M58</f>
        <v>2.269</v>
      </c>
      <c r="G71" s="18">
        <f>RHWM!N58</f>
        <v>2.268</v>
      </c>
      <c r="H71" s="18">
        <f>RHWM!O58</f>
        <v>2.791</v>
      </c>
      <c r="I71" s="18">
        <v>0</v>
      </c>
      <c r="J71" s="18">
        <v>0</v>
      </c>
      <c r="K71" s="18">
        <v>0</v>
      </c>
      <c r="L71" s="18">
        <v>0</v>
      </c>
      <c r="M71" s="18">
        <v>0</v>
      </c>
      <c r="N71" s="18">
        <v>0</v>
      </c>
      <c r="O71" s="81">
        <f t="shared" si="28"/>
        <v>2.791</v>
      </c>
      <c r="P71" s="63">
        <f t="shared" si="29"/>
        <v>2.268</v>
      </c>
      <c r="Q71" s="63">
        <f t="shared" si="30"/>
        <v>2.268</v>
      </c>
      <c r="R71" s="63">
        <f t="shared" si="31"/>
        <v>0</v>
      </c>
      <c r="S71" s="63">
        <f t="shared" si="32"/>
        <v>0.5230000000000001</v>
      </c>
      <c r="T71" s="67">
        <f t="shared" si="87"/>
        <v>33.949064274110405</v>
      </c>
      <c r="U71" s="138">
        <f ca="1" t="shared" si="88"/>
        <v>1.18</v>
      </c>
      <c r="V71" s="66">
        <f ca="1" t="shared" si="89"/>
        <v>2.6762399999999995</v>
      </c>
      <c r="W71" s="66">
        <f ca="1" t="shared" si="33"/>
        <v>2.6762399999999995</v>
      </c>
      <c r="X71" s="66">
        <f ca="1" t="shared" si="34"/>
        <v>0</v>
      </c>
      <c r="Y71" s="63">
        <f ca="1" t="shared" si="35"/>
        <v>0.11476000000000042</v>
      </c>
      <c r="Z71" s="67">
        <f ca="1" t="shared" si="90"/>
        <v>34.90901605903751</v>
      </c>
      <c r="AA71" s="68">
        <f ca="1" t="shared" si="91"/>
        <v>0.028276236928838294</v>
      </c>
      <c r="AB71" s="169">
        <f t="shared" si="36"/>
        <v>2.268</v>
      </c>
      <c r="AC71" s="169">
        <f t="shared" si="37"/>
        <v>4.536</v>
      </c>
      <c r="AD71" s="169">
        <v>0</v>
      </c>
      <c r="AE71" s="171">
        <f t="shared" si="38"/>
        <v>0</v>
      </c>
      <c r="AF71" s="182">
        <v>0</v>
      </c>
      <c r="AG71" s="182">
        <f t="shared" si="39"/>
        <v>0</v>
      </c>
      <c r="AH71" s="182">
        <f t="shared" si="40"/>
        <v>0</v>
      </c>
      <c r="AI71" s="182">
        <v>0</v>
      </c>
      <c r="AJ71" s="171">
        <f t="shared" si="41"/>
        <v>0</v>
      </c>
      <c r="AK71" s="171">
        <f t="shared" si="42"/>
        <v>4.536</v>
      </c>
      <c r="AL71" s="171">
        <f t="shared" si="43"/>
        <v>0.28947852662055745</v>
      </c>
      <c r="AM71" s="171">
        <f t="shared" si="44"/>
        <v>4.825478526620557</v>
      </c>
      <c r="AN71" s="81">
        <f t="shared" si="45"/>
        <v>4.825478526620557</v>
      </c>
      <c r="AO71" s="63">
        <f t="shared" si="46"/>
        <v>2.268</v>
      </c>
      <c r="AP71" s="63">
        <f t="shared" si="47"/>
        <v>2.268</v>
      </c>
      <c r="AQ71" s="63">
        <f t="shared" si="48"/>
        <v>0</v>
      </c>
      <c r="AR71" s="63">
        <f t="shared" si="49"/>
        <v>2.5574785266205575</v>
      </c>
      <c r="AS71" s="67">
        <f t="shared" si="92"/>
        <v>35.5763854636149</v>
      </c>
      <c r="AT71" s="65">
        <f ca="1" t="shared" si="93"/>
        <v>1.18</v>
      </c>
      <c r="AU71" s="66">
        <f ca="1" t="shared" si="50"/>
        <v>2.6762399999999995</v>
      </c>
      <c r="AV71" s="66">
        <f ca="1" t="shared" si="51"/>
        <v>2.6762399999999995</v>
      </c>
      <c r="AW71" s="66">
        <f ca="1" t="shared" si="52"/>
        <v>0</v>
      </c>
      <c r="AX71" s="63">
        <f ca="1" t="shared" si="53"/>
        <v>2.149238526620558</v>
      </c>
      <c r="AY71" s="67">
        <f ca="1" t="shared" si="94"/>
        <v>36.38031310262951</v>
      </c>
      <c r="AZ71" s="65">
        <f ca="1" t="shared" si="54"/>
        <v>0.0225972264618286</v>
      </c>
      <c r="BA71" s="68">
        <f ca="1" t="shared" si="95"/>
        <v>0.0421466202629075</v>
      </c>
      <c r="BB71" s="169">
        <f t="shared" si="55"/>
        <v>2.268</v>
      </c>
      <c r="BC71" s="169">
        <f t="shared" si="56"/>
        <v>4.536</v>
      </c>
      <c r="BD71" s="169">
        <v>0</v>
      </c>
      <c r="BE71" s="171">
        <f t="shared" si="57"/>
        <v>0</v>
      </c>
      <c r="BF71" s="182">
        <v>0</v>
      </c>
      <c r="BG71" s="182">
        <f t="shared" si="58"/>
        <v>0</v>
      </c>
      <c r="BH71" s="182">
        <f t="shared" si="59"/>
        <v>0</v>
      </c>
      <c r="BI71" s="169">
        <f t="shared" si="60"/>
        <v>0</v>
      </c>
      <c r="BJ71" s="171">
        <f t="shared" si="61"/>
        <v>4.536</v>
      </c>
      <c r="BK71" s="171">
        <f t="shared" si="62"/>
        <v>0.08702942309480126</v>
      </c>
      <c r="BL71" s="171">
        <f t="shared" si="63"/>
        <v>4.623029423094801</v>
      </c>
      <c r="BM71" s="81">
        <f t="shared" si="64"/>
        <v>4.623029423094801</v>
      </c>
      <c r="BN71" s="63">
        <f t="shared" si="96"/>
        <v>2.268</v>
      </c>
      <c r="BO71" s="63">
        <f t="shared" si="65"/>
        <v>2.268</v>
      </c>
      <c r="BP71" s="63">
        <f t="shared" si="66"/>
        <v>0</v>
      </c>
      <c r="BQ71" s="63">
        <f t="shared" si="67"/>
        <v>2.355029423094801</v>
      </c>
      <c r="BR71" s="67">
        <f t="shared" si="68"/>
        <v>34.790963136607154</v>
      </c>
      <c r="BS71" s="69">
        <f ca="1" t="shared" si="97"/>
        <v>1.18</v>
      </c>
      <c r="BT71" s="66">
        <f ca="1" t="shared" si="69"/>
        <v>2.6762399999999995</v>
      </c>
      <c r="BU71" s="66">
        <f ca="1" t="shared" si="70"/>
        <v>2.6762399999999995</v>
      </c>
      <c r="BV71" s="66">
        <f ca="1" t="shared" si="71"/>
        <v>0</v>
      </c>
      <c r="BW71" s="63">
        <f ca="1" t="shared" si="72"/>
        <v>1.9467894230948013</v>
      </c>
      <c r="BX71" s="67">
        <f ca="1" t="shared" si="98"/>
        <v>35.05800570624853</v>
      </c>
      <c r="BY71" s="65">
        <f ca="1" t="shared" si="73"/>
        <v>0.007675630266193778</v>
      </c>
      <c r="BZ71" s="68">
        <f ca="1" t="shared" si="99"/>
        <v>0.0042679417534727815</v>
      </c>
      <c r="CA71" s="81">
        <f t="shared" si="74"/>
        <v>2.268</v>
      </c>
      <c r="CB71" s="63">
        <f t="shared" si="75"/>
        <v>2.268</v>
      </c>
      <c r="CC71" s="67">
        <f t="shared" si="76"/>
        <v>35.90132553133049</v>
      </c>
      <c r="CD71" s="69">
        <f ca="1" t="shared" si="100"/>
        <v>1.18</v>
      </c>
      <c r="CE71" s="190">
        <f ca="1" t="shared" si="77"/>
        <v>2.6762399999999995</v>
      </c>
      <c r="CF71" s="70">
        <f ca="1" t="shared" si="78"/>
        <v>2.6762399999999995</v>
      </c>
      <c r="CG71" s="67">
        <f ca="1" t="shared" si="79"/>
        <v>39.30481757441425</v>
      </c>
      <c r="CH71" s="65">
        <f ca="1" t="shared" si="80"/>
        <v>0.09480129194989151</v>
      </c>
      <c r="CI71" s="65">
        <f ca="1" t="shared" si="101"/>
        <v>0.1259216675698518</v>
      </c>
      <c r="CJ71" s="68">
        <f ca="1" t="shared" si="81"/>
        <v>0.12113672134546993</v>
      </c>
      <c r="CL71" s="97">
        <f ca="1" t="shared" si="102"/>
        <v>818402.1690074656</v>
      </c>
      <c r="CM71" s="97">
        <f ca="1" t="shared" si="103"/>
        <v>852895.054446963</v>
      </c>
      <c r="CN71" s="97">
        <f ca="1" t="shared" si="104"/>
        <v>821895.0617957051</v>
      </c>
      <c r="CO71" s="97">
        <f ca="1" t="shared" si="82"/>
        <v>921456.7348716693</v>
      </c>
      <c r="CQ71" s="97">
        <f t="shared" si="105"/>
        <v>674489.1452974577</v>
      </c>
      <c r="CR71" s="97">
        <f t="shared" si="106"/>
        <v>706820.2419477523</v>
      </c>
      <c r="CS71" s="97">
        <f t="shared" si="107"/>
        <v>691215.722489907</v>
      </c>
      <c r="CT71" s="97">
        <f t="shared" si="83"/>
        <v>713276.0472323041</v>
      </c>
      <c r="CV71" s="97">
        <f ca="1" t="shared" si="108"/>
        <v>818402.1690074655</v>
      </c>
      <c r="CW71" s="97">
        <f ca="1" t="shared" si="84"/>
        <v>852895.054446963</v>
      </c>
      <c r="CX71" s="97">
        <f ca="1" t="shared" si="85"/>
        <v>852895.054446963</v>
      </c>
      <c r="CY71" s="97">
        <f ca="1" t="shared" si="86"/>
        <v>921456.7348716693</v>
      </c>
    </row>
    <row r="72" spans="2:103" ht="12.75">
      <c r="B72" s="14">
        <v>10170</v>
      </c>
      <c r="C72" s="15" t="s">
        <v>71</v>
      </c>
      <c r="D72" s="16">
        <f>RHWM!D59</f>
        <v>1</v>
      </c>
      <c r="E72" s="16">
        <f>RHWM!E59</f>
        <v>0</v>
      </c>
      <c r="F72" s="18">
        <f>RHWM!M59</f>
        <v>241.444</v>
      </c>
      <c r="G72" s="18">
        <f>RHWM!N59</f>
        <v>244.723</v>
      </c>
      <c r="H72" s="18">
        <f>RHWM!O59</f>
        <v>251.097</v>
      </c>
      <c r="I72" s="18">
        <v>0</v>
      </c>
      <c r="J72" s="18">
        <v>0</v>
      </c>
      <c r="K72" s="18">
        <v>0</v>
      </c>
      <c r="L72" s="18">
        <v>0</v>
      </c>
      <c r="M72" s="18">
        <v>0</v>
      </c>
      <c r="N72" s="18">
        <v>0</v>
      </c>
      <c r="O72" s="81">
        <f t="shared" si="28"/>
        <v>251.097</v>
      </c>
      <c r="P72" s="63">
        <f t="shared" si="29"/>
        <v>244.723</v>
      </c>
      <c r="Q72" s="63">
        <f t="shared" si="30"/>
        <v>244.723</v>
      </c>
      <c r="R72" s="63">
        <f t="shared" si="31"/>
        <v>0</v>
      </c>
      <c r="S72" s="63">
        <f t="shared" si="32"/>
        <v>6.373999999999995</v>
      </c>
      <c r="T72" s="67">
        <f t="shared" si="87"/>
        <v>33.949064274110405</v>
      </c>
      <c r="U72" s="138">
        <f ca="1" t="shared" si="88"/>
        <v>1.24</v>
      </c>
      <c r="V72" s="66">
        <f ca="1" t="shared" si="89"/>
        <v>303.45652</v>
      </c>
      <c r="W72" s="66">
        <f ca="1" t="shared" si="33"/>
        <v>251.097</v>
      </c>
      <c r="X72" s="66">
        <f ca="1" t="shared" si="34"/>
        <v>52.35952</v>
      </c>
      <c r="Y72" s="63">
        <f ca="1" t="shared" si="35"/>
        <v>0</v>
      </c>
      <c r="Z72" s="67">
        <f ca="1" t="shared" si="90"/>
        <v>39.776644468789605</v>
      </c>
      <c r="AA72" s="68">
        <f ca="1" t="shared" si="91"/>
        <v>0.17165657785517574</v>
      </c>
      <c r="AB72" s="169">
        <f t="shared" si="36"/>
        <v>244.723</v>
      </c>
      <c r="AC72" s="169">
        <f t="shared" si="37"/>
        <v>244.723</v>
      </c>
      <c r="AD72" s="169">
        <v>2.9610000000000003</v>
      </c>
      <c r="AE72" s="171">
        <f t="shared" si="38"/>
        <v>1.4805000000000001</v>
      </c>
      <c r="AF72" s="182">
        <v>0</v>
      </c>
      <c r="AG72" s="182">
        <f t="shared" si="39"/>
        <v>0</v>
      </c>
      <c r="AH72" s="182">
        <f t="shared" si="40"/>
        <v>0</v>
      </c>
      <c r="AI72" s="182">
        <v>0</v>
      </c>
      <c r="AJ72" s="171">
        <f t="shared" si="41"/>
        <v>0</v>
      </c>
      <c r="AK72" s="171">
        <f t="shared" si="42"/>
        <v>246.20350000000002</v>
      </c>
      <c r="AL72" s="171">
        <f t="shared" si="43"/>
        <v>15.712219230340484</v>
      </c>
      <c r="AM72" s="171">
        <f t="shared" si="44"/>
        <v>261.9157192303405</v>
      </c>
      <c r="AN72" s="81">
        <f t="shared" si="45"/>
        <v>261.9157192303405</v>
      </c>
      <c r="AO72" s="63">
        <f t="shared" si="46"/>
        <v>244.723</v>
      </c>
      <c r="AP72" s="63">
        <f t="shared" si="47"/>
        <v>244.723</v>
      </c>
      <c r="AQ72" s="63">
        <f t="shared" si="48"/>
        <v>0</v>
      </c>
      <c r="AR72" s="63">
        <f t="shared" si="49"/>
        <v>17.192719230340515</v>
      </c>
      <c r="AS72" s="67">
        <f t="shared" si="92"/>
        <v>35.5763854636149</v>
      </c>
      <c r="AT72" s="65">
        <f ca="1" t="shared" si="93"/>
        <v>1.24</v>
      </c>
      <c r="AU72" s="66">
        <f ca="1" t="shared" si="50"/>
        <v>303.45652</v>
      </c>
      <c r="AV72" s="66">
        <f ca="1" t="shared" si="51"/>
        <v>261.9157192303405</v>
      </c>
      <c r="AW72" s="66">
        <f ca="1" t="shared" si="52"/>
        <v>41.540800769659484</v>
      </c>
      <c r="AX72" s="63">
        <f ca="1" t="shared" si="53"/>
        <v>0</v>
      </c>
      <c r="AY72" s="67">
        <f ca="1" t="shared" si="94"/>
        <v>40.04076503836891</v>
      </c>
      <c r="AZ72" s="65">
        <f ca="1" t="shared" si="54"/>
        <v>0.1254871599960563</v>
      </c>
      <c r="BA72" s="68">
        <f ca="1" t="shared" si="95"/>
        <v>0.0066400917700975</v>
      </c>
      <c r="BB72" s="169">
        <f t="shared" si="55"/>
        <v>244.723</v>
      </c>
      <c r="BC72" s="169">
        <f t="shared" si="56"/>
        <v>244.723</v>
      </c>
      <c r="BD72" s="169">
        <v>2.9610000000000003</v>
      </c>
      <c r="BE72" s="171">
        <f t="shared" si="57"/>
        <v>1.4805000000000001</v>
      </c>
      <c r="BF72" s="182">
        <v>0</v>
      </c>
      <c r="BG72" s="182">
        <f t="shared" si="58"/>
        <v>0</v>
      </c>
      <c r="BH72" s="182">
        <f t="shared" si="59"/>
        <v>0</v>
      </c>
      <c r="BI72" s="169">
        <f t="shared" si="60"/>
        <v>0</v>
      </c>
      <c r="BJ72" s="171">
        <f t="shared" si="61"/>
        <v>246.20350000000002</v>
      </c>
      <c r="BK72" s="171">
        <f t="shared" si="62"/>
        <v>4.7237540936774485</v>
      </c>
      <c r="BL72" s="171">
        <f t="shared" si="63"/>
        <v>250.92725409367748</v>
      </c>
      <c r="BM72" s="81">
        <f t="shared" si="64"/>
        <v>250.92725409367748</v>
      </c>
      <c r="BN72" s="63">
        <f t="shared" si="96"/>
        <v>244.723</v>
      </c>
      <c r="BO72" s="63">
        <f t="shared" si="65"/>
        <v>244.723</v>
      </c>
      <c r="BP72" s="63">
        <f t="shared" si="66"/>
        <v>0</v>
      </c>
      <c r="BQ72" s="63">
        <f t="shared" si="67"/>
        <v>6.204254093677463</v>
      </c>
      <c r="BR72" s="67">
        <f t="shared" si="68"/>
        <v>34.790963136607154</v>
      </c>
      <c r="BS72" s="69">
        <f ca="1" t="shared" si="97"/>
        <v>1.24</v>
      </c>
      <c r="BT72" s="66">
        <f ca="1" t="shared" si="69"/>
        <v>303.45652</v>
      </c>
      <c r="BU72" s="66">
        <f ca="1" t="shared" si="70"/>
        <v>250.92725409367748</v>
      </c>
      <c r="BV72" s="66">
        <f ca="1" t="shared" si="71"/>
        <v>52.529265906322536</v>
      </c>
      <c r="BW72" s="63">
        <f ca="1" t="shared" si="72"/>
        <v>0</v>
      </c>
      <c r="BX72" s="67">
        <f ca="1" t="shared" si="98"/>
        <v>39.9156240567067</v>
      </c>
      <c r="BY72" s="65">
        <f ca="1" t="shared" si="73"/>
        <v>0.1472986217707597</v>
      </c>
      <c r="BZ72" s="68">
        <f ca="1" t="shared" si="99"/>
        <v>0.003493999802475667</v>
      </c>
      <c r="CA72" s="81">
        <f t="shared" si="74"/>
        <v>244.723</v>
      </c>
      <c r="CB72" s="63">
        <f t="shared" si="75"/>
        <v>244.723</v>
      </c>
      <c r="CC72" s="67">
        <f t="shared" si="76"/>
        <v>35.90132553133049</v>
      </c>
      <c r="CD72" s="69">
        <f ca="1" t="shared" si="100"/>
        <v>1.24</v>
      </c>
      <c r="CE72" s="190">
        <f ca="1" t="shared" si="77"/>
        <v>303.45652</v>
      </c>
      <c r="CF72" s="70">
        <f ca="1" t="shared" si="78"/>
        <v>303.45652</v>
      </c>
      <c r="CG72" s="67">
        <f ca="1" t="shared" si="79"/>
        <v>39.30481757441425</v>
      </c>
      <c r="CH72" s="65">
        <f ca="1" t="shared" si="80"/>
        <v>0.09480129194989151</v>
      </c>
      <c r="CI72" s="65">
        <f ca="1" t="shared" si="101"/>
        <v>-0.011861907928044757</v>
      </c>
      <c r="CJ72" s="68">
        <f ca="1" t="shared" si="81"/>
        <v>-0.015302441004672596</v>
      </c>
      <c r="CL72" s="97">
        <f ca="1" t="shared" si="102"/>
        <v>105737423.26411901</v>
      </c>
      <c r="CM72" s="97">
        <f ca="1" t="shared" si="103"/>
        <v>106439529.4581264</v>
      </c>
      <c r="CN72" s="97">
        <f ca="1" t="shared" si="104"/>
        <v>106106869.80011812</v>
      </c>
      <c r="CO72" s="97">
        <f ca="1" t="shared" si="82"/>
        <v>104483175.68481132</v>
      </c>
      <c r="CQ72" s="97">
        <f t="shared" si="105"/>
        <v>72779103.66165334</v>
      </c>
      <c r="CR72" s="97">
        <f t="shared" si="106"/>
        <v>76267711.67115512</v>
      </c>
      <c r="CS72" s="97">
        <f t="shared" si="107"/>
        <v>74583944.11591603</v>
      </c>
      <c r="CT72" s="97">
        <f t="shared" si="83"/>
        <v>76964309.57091323</v>
      </c>
      <c r="CV72" s="97">
        <f ca="1" t="shared" si="108"/>
        <v>105737423.26411901</v>
      </c>
      <c r="CW72" s="97">
        <f ca="1" t="shared" si="84"/>
        <v>106439529.4581264</v>
      </c>
      <c r="CX72" s="97">
        <f ca="1" t="shared" si="85"/>
        <v>106439529.4581264</v>
      </c>
      <c r="CY72" s="97">
        <f ca="1" t="shared" si="86"/>
        <v>104483175.68481132</v>
      </c>
    </row>
    <row r="73" spans="2:103" ht="12.75">
      <c r="B73" s="14">
        <v>10172</v>
      </c>
      <c r="C73" s="15" t="s">
        <v>72</v>
      </c>
      <c r="D73" s="16">
        <f>RHWM!D60</f>
        <v>1</v>
      </c>
      <c r="E73" s="16">
        <f>RHWM!E60</f>
        <v>0</v>
      </c>
      <c r="F73" s="18">
        <f>RHWM!M60</f>
        <v>5.273</v>
      </c>
      <c r="G73" s="18">
        <f>RHWM!N60</f>
        <v>5.302</v>
      </c>
      <c r="H73" s="18">
        <f>RHWM!O60</f>
        <v>6.102</v>
      </c>
      <c r="I73" s="18">
        <v>0</v>
      </c>
      <c r="J73" s="18">
        <v>0</v>
      </c>
      <c r="K73" s="18">
        <v>0</v>
      </c>
      <c r="L73" s="18">
        <v>0</v>
      </c>
      <c r="M73" s="18">
        <v>0</v>
      </c>
      <c r="N73" s="18">
        <v>0</v>
      </c>
      <c r="O73" s="81">
        <f t="shared" si="28"/>
        <v>6.102</v>
      </c>
      <c r="P73" s="63">
        <f t="shared" si="29"/>
        <v>5.302</v>
      </c>
      <c r="Q73" s="63">
        <f t="shared" si="30"/>
        <v>5.302</v>
      </c>
      <c r="R73" s="63">
        <f t="shared" si="31"/>
        <v>0</v>
      </c>
      <c r="S73" s="63">
        <f t="shared" si="32"/>
        <v>0.8000000000000007</v>
      </c>
      <c r="T73" s="67">
        <f t="shared" si="87"/>
        <v>33.949064274110405</v>
      </c>
      <c r="U73" s="138">
        <f ca="1" t="shared" si="88"/>
        <v>1.1</v>
      </c>
      <c r="V73" s="66">
        <f ca="1" t="shared" si="89"/>
        <v>5.8322</v>
      </c>
      <c r="W73" s="66">
        <f ca="1" t="shared" si="33"/>
        <v>5.8322</v>
      </c>
      <c r="X73" s="66">
        <f ca="1" t="shared" si="34"/>
        <v>0</v>
      </c>
      <c r="Y73" s="63">
        <f ca="1" t="shared" si="35"/>
        <v>0.26980000000000004</v>
      </c>
      <c r="Z73" s="67">
        <f ca="1" t="shared" si="90"/>
        <v>34.90901605903751</v>
      </c>
      <c r="AA73" s="68">
        <f ca="1" t="shared" si="91"/>
        <v>0.028276236928838294</v>
      </c>
      <c r="AB73" s="169">
        <f t="shared" si="36"/>
        <v>5.302</v>
      </c>
      <c r="AC73" s="169">
        <f t="shared" si="37"/>
        <v>5.302</v>
      </c>
      <c r="AD73" s="169">
        <v>0</v>
      </c>
      <c r="AE73" s="171">
        <f t="shared" si="38"/>
        <v>0</v>
      </c>
      <c r="AF73" s="182">
        <v>0</v>
      </c>
      <c r="AG73" s="182">
        <f t="shared" si="39"/>
        <v>0</v>
      </c>
      <c r="AH73" s="182">
        <f t="shared" si="40"/>
        <v>0</v>
      </c>
      <c r="AI73" s="182">
        <v>0</v>
      </c>
      <c r="AJ73" s="171">
        <f t="shared" si="41"/>
        <v>0</v>
      </c>
      <c r="AK73" s="171">
        <f t="shared" si="42"/>
        <v>5.302</v>
      </c>
      <c r="AL73" s="171">
        <f t="shared" si="43"/>
        <v>0.3383631278973095</v>
      </c>
      <c r="AM73" s="171">
        <f t="shared" si="44"/>
        <v>5.640363127897309</v>
      </c>
      <c r="AN73" s="81">
        <f t="shared" si="45"/>
        <v>5.640363127897309</v>
      </c>
      <c r="AO73" s="63">
        <f t="shared" si="46"/>
        <v>5.302</v>
      </c>
      <c r="AP73" s="63">
        <f t="shared" si="47"/>
        <v>5.302</v>
      </c>
      <c r="AQ73" s="63">
        <f t="shared" si="48"/>
        <v>0</v>
      </c>
      <c r="AR73" s="63">
        <f t="shared" si="49"/>
        <v>0.3383631278973098</v>
      </c>
      <c r="AS73" s="67">
        <f t="shared" si="92"/>
        <v>35.5763854636149</v>
      </c>
      <c r="AT73" s="65">
        <f ca="1" t="shared" si="93"/>
        <v>1.1</v>
      </c>
      <c r="AU73" s="66">
        <f ca="1" t="shared" si="50"/>
        <v>5.8322</v>
      </c>
      <c r="AV73" s="66">
        <f ca="1" t="shared" si="51"/>
        <v>5.640363127897309</v>
      </c>
      <c r="AW73" s="66">
        <f ca="1" t="shared" si="52"/>
        <v>0.19183687210269085</v>
      </c>
      <c r="AX73" s="63">
        <f ca="1" t="shared" si="53"/>
        <v>0</v>
      </c>
      <c r="AY73" s="67">
        <f ca="1" t="shared" si="94"/>
        <v>37.259853909768644</v>
      </c>
      <c r="AZ73" s="65">
        <f ca="1" t="shared" si="54"/>
        <v>0.04731982814486546</v>
      </c>
      <c r="BA73" s="68">
        <f ca="1" t="shared" si="95"/>
        <v>0.06734185365624268</v>
      </c>
      <c r="BB73" s="169">
        <f t="shared" si="55"/>
        <v>5.302</v>
      </c>
      <c r="BC73" s="169">
        <f t="shared" si="56"/>
        <v>5.302</v>
      </c>
      <c r="BD73" s="169">
        <v>0</v>
      </c>
      <c r="BE73" s="171">
        <f t="shared" si="57"/>
        <v>0</v>
      </c>
      <c r="BF73" s="182">
        <v>0</v>
      </c>
      <c r="BG73" s="182">
        <f t="shared" si="58"/>
        <v>0</v>
      </c>
      <c r="BH73" s="182">
        <f t="shared" si="59"/>
        <v>0</v>
      </c>
      <c r="BI73" s="169">
        <f t="shared" si="60"/>
        <v>0</v>
      </c>
      <c r="BJ73" s="171">
        <f t="shared" si="61"/>
        <v>5.302</v>
      </c>
      <c r="BK73" s="171">
        <f t="shared" si="62"/>
        <v>0.10172619075146304</v>
      </c>
      <c r="BL73" s="171">
        <f t="shared" si="63"/>
        <v>5.403726190751462</v>
      </c>
      <c r="BM73" s="81">
        <f t="shared" si="64"/>
        <v>5.403726190751462</v>
      </c>
      <c r="BN73" s="63">
        <f t="shared" si="96"/>
        <v>5.302</v>
      </c>
      <c r="BO73" s="63">
        <f t="shared" si="65"/>
        <v>5.302</v>
      </c>
      <c r="BP73" s="63">
        <f t="shared" si="66"/>
        <v>0</v>
      </c>
      <c r="BQ73" s="63">
        <f t="shared" si="67"/>
        <v>0.10172619075146283</v>
      </c>
      <c r="BR73" s="67">
        <f t="shared" si="68"/>
        <v>34.790963136607154</v>
      </c>
      <c r="BS73" s="69">
        <f ca="1" t="shared" si="97"/>
        <v>1.1</v>
      </c>
      <c r="BT73" s="66">
        <f ca="1" t="shared" si="69"/>
        <v>5.8322</v>
      </c>
      <c r="BU73" s="66">
        <f ca="1" t="shared" si="70"/>
        <v>5.403726190751462</v>
      </c>
      <c r="BV73" s="66">
        <f ca="1" t="shared" si="71"/>
        <v>0.42847380924853784</v>
      </c>
      <c r="BW73" s="63">
        <f ca="1" t="shared" si="72"/>
        <v>0</v>
      </c>
      <c r="BX73" s="67">
        <f ca="1" t="shared" si="98"/>
        <v>37.119634180950094</v>
      </c>
      <c r="BY73" s="65">
        <f ca="1" t="shared" si="73"/>
        <v>0.06693321582387313</v>
      </c>
      <c r="BZ73" s="68">
        <f ca="1" t="shared" si="99"/>
        <v>0.06332513406204354</v>
      </c>
      <c r="CA73" s="81">
        <f t="shared" si="74"/>
        <v>5.302</v>
      </c>
      <c r="CB73" s="63">
        <f t="shared" si="75"/>
        <v>5.302</v>
      </c>
      <c r="CC73" s="67">
        <f t="shared" si="76"/>
        <v>35.90132553133049</v>
      </c>
      <c r="CD73" s="69">
        <f ca="1" t="shared" si="100"/>
        <v>1.1</v>
      </c>
      <c r="CE73" s="190">
        <f ca="1" t="shared" si="77"/>
        <v>5.8322</v>
      </c>
      <c r="CF73" s="70">
        <f ca="1" t="shared" si="78"/>
        <v>5.8322</v>
      </c>
      <c r="CG73" s="67">
        <f ca="1" t="shared" si="79"/>
        <v>39.30481757441425</v>
      </c>
      <c r="CH73" s="65">
        <f ca="1" t="shared" si="80"/>
        <v>0.09480129194989151</v>
      </c>
      <c r="CI73" s="65">
        <f ca="1" t="shared" si="101"/>
        <v>0.1259216675698518</v>
      </c>
      <c r="CJ73" s="68">
        <f ca="1" t="shared" si="81"/>
        <v>0.0588686672614247</v>
      </c>
      <c r="CL73" s="97">
        <f ca="1" t="shared" si="102"/>
        <v>1783504.1439053828</v>
      </c>
      <c r="CM73" s="97">
        <f ca="1" t="shared" si="103"/>
        <v>1903608.6189595615</v>
      </c>
      <c r="CN73" s="97">
        <f ca="1" t="shared" si="104"/>
        <v>1896444.782918401</v>
      </c>
      <c r="CO73" s="97">
        <f ca="1" t="shared" si="82"/>
        <v>2008085.9598236897</v>
      </c>
      <c r="CQ73" s="97">
        <f t="shared" si="105"/>
        <v>1576781.9437244802</v>
      </c>
      <c r="CR73" s="97">
        <f t="shared" si="106"/>
        <v>1652363.722578035</v>
      </c>
      <c r="CS73" s="97">
        <f t="shared" si="107"/>
        <v>1615884.3741805502</v>
      </c>
      <c r="CT73" s="97">
        <f t="shared" si="83"/>
        <v>1667455.7329919208</v>
      </c>
      <c r="CV73" s="97">
        <f ca="1" t="shared" si="108"/>
        <v>1783504.1439053826</v>
      </c>
      <c r="CW73" s="97">
        <f ca="1" t="shared" si="84"/>
        <v>1903608.6189595617</v>
      </c>
      <c r="CX73" s="97">
        <f ca="1" t="shared" si="85"/>
        <v>1903608.6189595617</v>
      </c>
      <c r="CY73" s="97">
        <f ca="1" t="shared" si="86"/>
        <v>2008085.9598236894</v>
      </c>
    </row>
    <row r="74" spans="2:103" ht="12.75">
      <c r="B74" s="14">
        <v>10173</v>
      </c>
      <c r="C74" s="15" t="s">
        <v>73</v>
      </c>
      <c r="D74" s="16">
        <f>RHWM!D61</f>
        <v>0</v>
      </c>
      <c r="E74" s="16">
        <f>RHWM!E61</f>
        <v>1</v>
      </c>
      <c r="F74" s="18">
        <f>RHWM!M61</f>
        <v>40.123</v>
      </c>
      <c r="G74" s="18">
        <f>RHWM!N61</f>
        <v>40.763</v>
      </c>
      <c r="H74" s="18">
        <f>RHWM!O61</f>
        <v>33.13</v>
      </c>
      <c r="I74" s="18">
        <v>6.993</v>
      </c>
      <c r="J74" s="18">
        <v>7.633</v>
      </c>
      <c r="K74" s="18">
        <v>0</v>
      </c>
      <c r="L74" s="18">
        <v>0</v>
      </c>
      <c r="M74" s="18">
        <v>6.993</v>
      </c>
      <c r="N74" s="18">
        <v>7.633</v>
      </c>
      <c r="O74" s="81">
        <f t="shared" si="28"/>
        <v>33.13</v>
      </c>
      <c r="P74" s="63">
        <f t="shared" si="29"/>
        <v>40.763</v>
      </c>
      <c r="Q74" s="63">
        <f t="shared" si="30"/>
        <v>33.13</v>
      </c>
      <c r="R74" s="63">
        <f t="shared" si="31"/>
        <v>7.632999999999996</v>
      </c>
      <c r="S74" s="63">
        <f t="shared" si="32"/>
        <v>0</v>
      </c>
      <c r="T74" s="67">
        <f t="shared" si="87"/>
        <v>39.41141376741844</v>
      </c>
      <c r="U74" s="138">
        <f ca="1" t="shared" si="88"/>
        <v>1.25</v>
      </c>
      <c r="V74" s="66">
        <f ca="1" t="shared" si="89"/>
        <v>50.95375</v>
      </c>
      <c r="W74" s="66">
        <f ca="1" t="shared" si="33"/>
        <v>33.13</v>
      </c>
      <c r="X74" s="66">
        <f ca="1" t="shared" si="34"/>
        <v>17.823749999999997</v>
      </c>
      <c r="Y74" s="63">
        <f ca="1" t="shared" si="35"/>
        <v>0</v>
      </c>
      <c r="Z74" s="67">
        <f ca="1" t="shared" si="90"/>
        <v>44.7772892483068</v>
      </c>
      <c r="AA74" s="68">
        <f ca="1" t="shared" si="91"/>
        <v>0.13615029170367787</v>
      </c>
      <c r="AB74" s="169">
        <f t="shared" si="36"/>
        <v>33.13</v>
      </c>
      <c r="AC74" s="169">
        <f t="shared" si="37"/>
        <v>33.13</v>
      </c>
      <c r="AD74" s="169">
        <v>0</v>
      </c>
      <c r="AE74" s="171">
        <f t="shared" si="38"/>
        <v>0</v>
      </c>
      <c r="AF74" s="182">
        <v>0</v>
      </c>
      <c r="AG74" s="182">
        <f t="shared" si="39"/>
        <v>0</v>
      </c>
      <c r="AH74" s="182">
        <f t="shared" si="40"/>
        <v>0</v>
      </c>
      <c r="AI74" s="182">
        <v>0.9665525114155251</v>
      </c>
      <c r="AJ74" s="171">
        <f t="shared" si="41"/>
        <v>3.816499999999998</v>
      </c>
      <c r="AK74" s="171">
        <f t="shared" si="42"/>
        <v>36.9465</v>
      </c>
      <c r="AL74" s="171">
        <f t="shared" si="43"/>
        <v>2.3578523773779603</v>
      </c>
      <c r="AM74" s="171">
        <f t="shared" si="44"/>
        <v>39.30435237737796</v>
      </c>
      <c r="AN74" s="81">
        <f t="shared" si="45"/>
        <v>39.30435237737796</v>
      </c>
      <c r="AO74" s="63">
        <f t="shared" si="46"/>
        <v>40.763</v>
      </c>
      <c r="AP74" s="63">
        <f t="shared" si="47"/>
        <v>39.30435237737796</v>
      </c>
      <c r="AQ74" s="63">
        <f t="shared" si="48"/>
        <v>1.4586476226220384</v>
      </c>
      <c r="AR74" s="63">
        <f t="shared" si="49"/>
        <v>0</v>
      </c>
      <c r="AS74" s="67">
        <f t="shared" si="92"/>
        <v>36.561995645935035</v>
      </c>
      <c r="AT74" s="65">
        <f ca="1" t="shared" si="93"/>
        <v>1.25</v>
      </c>
      <c r="AU74" s="66">
        <f ca="1" t="shared" si="50"/>
        <v>50.95375</v>
      </c>
      <c r="AV74" s="66">
        <f ca="1" t="shared" si="51"/>
        <v>39.30435237737796</v>
      </c>
      <c r="AW74" s="66">
        <f ca="1" t="shared" si="52"/>
        <v>11.64939762262204</v>
      </c>
      <c r="AX74" s="63">
        <f ca="1" t="shared" si="53"/>
        <v>0</v>
      </c>
      <c r="AY74" s="67">
        <f ca="1" t="shared" si="94"/>
        <v>42.49372467629946</v>
      </c>
      <c r="AZ74" s="65">
        <f ca="1" t="shared" si="54"/>
        <v>0.1622375618608749</v>
      </c>
      <c r="BA74" s="68">
        <f ca="1" t="shared" si="95"/>
        <v>-0.05099827636604182</v>
      </c>
      <c r="BB74" s="169">
        <f t="shared" si="55"/>
        <v>33.13</v>
      </c>
      <c r="BC74" s="169">
        <f t="shared" si="56"/>
        <v>33.13</v>
      </c>
      <c r="BD74" s="169">
        <v>0</v>
      </c>
      <c r="BE74" s="171">
        <f t="shared" si="57"/>
        <v>0</v>
      </c>
      <c r="BF74" s="182">
        <v>0</v>
      </c>
      <c r="BG74" s="182">
        <f t="shared" si="58"/>
        <v>0</v>
      </c>
      <c r="BH74" s="182">
        <f t="shared" si="59"/>
        <v>0</v>
      </c>
      <c r="BI74" s="169">
        <f t="shared" si="60"/>
        <v>1.908249999999999</v>
      </c>
      <c r="BJ74" s="171">
        <f t="shared" si="61"/>
        <v>35.038250000000005</v>
      </c>
      <c r="BK74" s="171">
        <f t="shared" si="62"/>
        <v>0.6722572054125708</v>
      </c>
      <c r="BL74" s="171">
        <f t="shared" si="63"/>
        <v>35.710507205412576</v>
      </c>
      <c r="BM74" s="81">
        <f t="shared" si="64"/>
        <v>35.710507205412576</v>
      </c>
      <c r="BN74" s="63">
        <f t="shared" si="96"/>
        <v>40.763</v>
      </c>
      <c r="BO74" s="63">
        <f t="shared" si="65"/>
        <v>35.710507205412576</v>
      </c>
      <c r="BP74" s="63">
        <f t="shared" si="66"/>
        <v>5.0524927945874225</v>
      </c>
      <c r="BQ74" s="63">
        <f t="shared" si="67"/>
        <v>0</v>
      </c>
      <c r="BR74" s="67">
        <f t="shared" si="68"/>
        <v>38.30229092479482</v>
      </c>
      <c r="BS74" s="69">
        <f ca="1" t="shared" si="97"/>
        <v>1.25</v>
      </c>
      <c r="BT74" s="66">
        <f ca="1" t="shared" si="69"/>
        <v>50.95375</v>
      </c>
      <c r="BU74" s="66">
        <f ca="1" t="shared" si="70"/>
        <v>35.710507205412576</v>
      </c>
      <c r="BV74" s="66">
        <f ca="1" t="shared" si="71"/>
        <v>15.243242794587424</v>
      </c>
      <c r="BW74" s="63">
        <f ca="1" t="shared" si="72"/>
        <v>0</v>
      </c>
      <c r="BX74" s="67">
        <f ca="1" t="shared" si="98"/>
        <v>43.45298727914513</v>
      </c>
      <c r="BY74" s="65">
        <f ca="1" t="shared" si="73"/>
        <v>0.1344748898822663</v>
      </c>
      <c r="BZ74" s="68">
        <f ca="1" t="shared" si="99"/>
        <v>-0.02957530461073521</v>
      </c>
      <c r="CA74" s="81">
        <f t="shared" si="74"/>
        <v>40.763</v>
      </c>
      <c r="CB74" s="63">
        <f t="shared" si="75"/>
        <v>40.763</v>
      </c>
      <c r="CC74" s="67">
        <f t="shared" si="76"/>
        <v>35.90132553133049</v>
      </c>
      <c r="CD74" s="69">
        <f ca="1" t="shared" si="100"/>
        <v>1.25</v>
      </c>
      <c r="CE74" s="190">
        <f ca="1" t="shared" si="77"/>
        <v>50.95375</v>
      </c>
      <c r="CF74" s="70">
        <f ca="1" t="shared" si="78"/>
        <v>50.95375</v>
      </c>
      <c r="CG74" s="67">
        <f ca="1" t="shared" si="79"/>
        <v>39.30481757441425</v>
      </c>
      <c r="CH74" s="65">
        <f ca="1" t="shared" si="80"/>
        <v>0.09480129194989151</v>
      </c>
      <c r="CI74" s="65">
        <f ca="1" t="shared" si="101"/>
        <v>-0.12221534098559761</v>
      </c>
      <c r="CJ74" s="68">
        <f ca="1" t="shared" si="81"/>
        <v>-0.0954633953721693</v>
      </c>
      <c r="CL74" s="97">
        <f ca="1" t="shared" si="102"/>
        <v>19986560.225834593</v>
      </c>
      <c r="CM74" s="97">
        <f ca="1" t="shared" si="103"/>
        <v>18967280.103830945</v>
      </c>
      <c r="CN74" s="97">
        <f ca="1" t="shared" si="104"/>
        <v>19395451.619034734</v>
      </c>
      <c r="CO74" s="97">
        <f ca="1" t="shared" si="82"/>
        <v>17543895.952705037</v>
      </c>
      <c r="CQ74" s="97">
        <f t="shared" si="105"/>
        <v>14073180.544355191</v>
      </c>
      <c r="CR74" s="97">
        <f t="shared" si="106"/>
        <v>13055699.265793588</v>
      </c>
      <c r="CS74" s="97">
        <f t="shared" si="107"/>
        <v>13677130.656314522</v>
      </c>
      <c r="CT74" s="97">
        <f t="shared" si="83"/>
        <v>12819784.617870554</v>
      </c>
      <c r="CV74" s="97">
        <f ca="1" t="shared" si="108"/>
        <v>19986560.225834593</v>
      </c>
      <c r="CW74" s="97">
        <f ca="1" t="shared" si="84"/>
        <v>18967280.103830945</v>
      </c>
      <c r="CX74" s="97">
        <f ca="1" t="shared" si="85"/>
        <v>18967280.103830945</v>
      </c>
      <c r="CY74" s="97">
        <f ca="1" t="shared" si="86"/>
        <v>17543895.952705037</v>
      </c>
    </row>
    <row r="75" spans="2:103" ht="12.75">
      <c r="B75" s="14">
        <v>10174</v>
      </c>
      <c r="C75" s="15" t="s">
        <v>74</v>
      </c>
      <c r="D75" s="16">
        <f>RHWM!D62</f>
        <v>1</v>
      </c>
      <c r="E75" s="16">
        <f>RHWM!E62</f>
        <v>0</v>
      </c>
      <c r="F75" s="18">
        <f>RHWM!M62</f>
        <v>0.496</v>
      </c>
      <c r="G75" s="18">
        <f>RHWM!N62</f>
        <v>0.496</v>
      </c>
      <c r="H75" s="18">
        <f>RHWM!O62</f>
        <v>0.507</v>
      </c>
      <c r="I75" s="18">
        <v>0</v>
      </c>
      <c r="J75" s="18">
        <v>0</v>
      </c>
      <c r="K75" s="18">
        <v>0</v>
      </c>
      <c r="L75" s="18">
        <v>0</v>
      </c>
      <c r="M75" s="18">
        <v>0</v>
      </c>
      <c r="N75" s="18">
        <v>0</v>
      </c>
      <c r="O75" s="81">
        <f t="shared" si="28"/>
        <v>0.507</v>
      </c>
      <c r="P75" s="63">
        <f t="shared" si="29"/>
        <v>0.496</v>
      </c>
      <c r="Q75" s="63">
        <f t="shared" si="30"/>
        <v>0.496</v>
      </c>
      <c r="R75" s="63">
        <f t="shared" si="31"/>
        <v>0</v>
      </c>
      <c r="S75" s="63">
        <f t="shared" si="32"/>
        <v>0.01100000000000001</v>
      </c>
      <c r="T75" s="67">
        <f t="shared" si="87"/>
        <v>33.949064274110405</v>
      </c>
      <c r="U75" s="138">
        <f ca="1" t="shared" si="88"/>
        <v>1.4</v>
      </c>
      <c r="V75" s="66">
        <f ca="1" t="shared" si="89"/>
        <v>0.6943999999999999</v>
      </c>
      <c r="W75" s="66">
        <f ca="1" t="shared" si="33"/>
        <v>0.507</v>
      </c>
      <c r="X75" s="66">
        <f ca="1" t="shared" si="34"/>
        <v>0.1873999999999999</v>
      </c>
      <c r="Y75" s="63">
        <f ca="1" t="shared" si="35"/>
        <v>0</v>
      </c>
      <c r="Z75" s="67">
        <f ca="1" t="shared" si="90"/>
        <v>42.5224065984044</v>
      </c>
      <c r="AA75" s="68">
        <f ca="1" t="shared" si="91"/>
        <v>0.2525354529677579</v>
      </c>
      <c r="AB75" s="169">
        <f t="shared" si="36"/>
        <v>0.496</v>
      </c>
      <c r="AC75" s="169">
        <f t="shared" si="37"/>
        <v>0.992</v>
      </c>
      <c r="AD75" s="169">
        <v>0</v>
      </c>
      <c r="AE75" s="171">
        <f t="shared" si="38"/>
        <v>0</v>
      </c>
      <c r="AF75" s="182">
        <v>0</v>
      </c>
      <c r="AG75" s="182">
        <f t="shared" si="39"/>
        <v>0</v>
      </c>
      <c r="AH75" s="182">
        <f t="shared" si="40"/>
        <v>0</v>
      </c>
      <c r="AI75" s="182">
        <v>0</v>
      </c>
      <c r="AJ75" s="171">
        <f t="shared" si="41"/>
        <v>0</v>
      </c>
      <c r="AK75" s="171">
        <f t="shared" si="42"/>
        <v>0.992</v>
      </c>
      <c r="AL75" s="171">
        <f t="shared" si="43"/>
        <v>0.0633074731939138</v>
      </c>
      <c r="AM75" s="171">
        <f t="shared" si="44"/>
        <v>1.0553074731939138</v>
      </c>
      <c r="AN75" s="81">
        <f t="shared" si="45"/>
        <v>1.0553074731939138</v>
      </c>
      <c r="AO75" s="63">
        <f t="shared" si="46"/>
        <v>0.496</v>
      </c>
      <c r="AP75" s="63">
        <f t="shared" si="47"/>
        <v>0.496</v>
      </c>
      <c r="AQ75" s="63">
        <f t="shared" si="48"/>
        <v>0</v>
      </c>
      <c r="AR75" s="63">
        <f t="shared" si="49"/>
        <v>0.5593074731939138</v>
      </c>
      <c r="AS75" s="67">
        <f t="shared" si="92"/>
        <v>35.5763854636149</v>
      </c>
      <c r="AT75" s="65">
        <f ca="1" t="shared" si="93"/>
        <v>1.4</v>
      </c>
      <c r="AU75" s="66">
        <f ca="1" t="shared" si="50"/>
        <v>0.6943999999999999</v>
      </c>
      <c r="AV75" s="66">
        <f ca="1" t="shared" si="51"/>
        <v>0.6943999999999999</v>
      </c>
      <c r="AW75" s="66">
        <f ca="1" t="shared" si="52"/>
        <v>0</v>
      </c>
      <c r="AX75" s="63">
        <f ca="1" t="shared" si="53"/>
        <v>0.3609074731939139</v>
      </c>
      <c r="AY75" s="67">
        <f ca="1" t="shared" si="94"/>
        <v>36.38031310262951</v>
      </c>
      <c r="AZ75" s="65">
        <f ca="1" t="shared" si="54"/>
        <v>0.0225972264618286</v>
      </c>
      <c r="BA75" s="68">
        <f ca="1" t="shared" si="95"/>
        <v>-0.14444369421003955</v>
      </c>
      <c r="BB75" s="169">
        <f t="shared" si="55"/>
        <v>0.496</v>
      </c>
      <c r="BC75" s="169">
        <f t="shared" si="56"/>
        <v>0.992</v>
      </c>
      <c r="BD75" s="169">
        <v>0</v>
      </c>
      <c r="BE75" s="171">
        <f t="shared" si="57"/>
        <v>0</v>
      </c>
      <c r="BF75" s="182">
        <v>0</v>
      </c>
      <c r="BG75" s="182">
        <f t="shared" si="58"/>
        <v>0</v>
      </c>
      <c r="BH75" s="182">
        <f t="shared" si="59"/>
        <v>0</v>
      </c>
      <c r="BI75" s="169">
        <f t="shared" si="60"/>
        <v>0</v>
      </c>
      <c r="BJ75" s="171">
        <f t="shared" si="61"/>
        <v>0.992</v>
      </c>
      <c r="BK75" s="171">
        <f t="shared" si="62"/>
        <v>0.019032889706799574</v>
      </c>
      <c r="BL75" s="171">
        <f t="shared" si="63"/>
        <v>1.0110328897067995</v>
      </c>
      <c r="BM75" s="81">
        <f t="shared" si="64"/>
        <v>1.0110328897067995</v>
      </c>
      <c r="BN75" s="63">
        <f t="shared" si="96"/>
        <v>0.496</v>
      </c>
      <c r="BO75" s="63">
        <f t="shared" si="65"/>
        <v>0.496</v>
      </c>
      <c r="BP75" s="63">
        <f t="shared" si="66"/>
        <v>0</v>
      </c>
      <c r="BQ75" s="63">
        <f t="shared" si="67"/>
        <v>0.5150328897067995</v>
      </c>
      <c r="BR75" s="67">
        <f t="shared" si="68"/>
        <v>34.790963136607154</v>
      </c>
      <c r="BS75" s="69">
        <f ca="1" t="shared" si="97"/>
        <v>1.4</v>
      </c>
      <c r="BT75" s="66">
        <f ca="1" t="shared" si="69"/>
        <v>0.6943999999999999</v>
      </c>
      <c r="BU75" s="66">
        <f ca="1" t="shared" si="70"/>
        <v>0.6943999999999999</v>
      </c>
      <c r="BV75" s="66">
        <f ca="1" t="shared" si="71"/>
        <v>0</v>
      </c>
      <c r="BW75" s="63">
        <f ca="1" t="shared" si="72"/>
        <v>0.3166328897067996</v>
      </c>
      <c r="BX75" s="67">
        <f ca="1" t="shared" si="98"/>
        <v>35.05800570624853</v>
      </c>
      <c r="BY75" s="65">
        <f ca="1" t="shared" si="73"/>
        <v>0.007675630266193778</v>
      </c>
      <c r="BZ75" s="68">
        <f ca="1" t="shared" si="99"/>
        <v>-0.17554041479006888</v>
      </c>
      <c r="CA75" s="81">
        <f t="shared" si="74"/>
        <v>0.496</v>
      </c>
      <c r="CB75" s="63">
        <f t="shared" si="75"/>
        <v>0.496</v>
      </c>
      <c r="CC75" s="67">
        <f t="shared" si="76"/>
        <v>35.90132553133049</v>
      </c>
      <c r="CD75" s="69">
        <f ca="1" t="shared" si="100"/>
        <v>1.4</v>
      </c>
      <c r="CE75" s="190">
        <f ca="1" t="shared" si="77"/>
        <v>0.6943999999999999</v>
      </c>
      <c r="CF75" s="70">
        <f ca="1" t="shared" si="78"/>
        <v>0.6943999999999999</v>
      </c>
      <c r="CG75" s="67">
        <f ca="1" t="shared" si="79"/>
        <v>39.30481757441425</v>
      </c>
      <c r="CH75" s="65">
        <f ca="1" t="shared" si="80"/>
        <v>0.09480129194989151</v>
      </c>
      <c r="CI75" s="65">
        <f ca="1" t="shared" si="101"/>
        <v>-0.07566808375589185</v>
      </c>
      <c r="CJ75" s="68">
        <f ca="1" t="shared" si="81"/>
        <v>0.12113672134546993</v>
      </c>
      <c r="CL75" s="97">
        <f ca="1" t="shared" si="102"/>
        <v>258661.41808332442</v>
      </c>
      <c r="CM75" s="97">
        <f ca="1" t="shared" si="103"/>
        <v>221299.4073057615</v>
      </c>
      <c r="CN75" s="97">
        <f ca="1" t="shared" si="104"/>
        <v>213255.8854627902</v>
      </c>
      <c r="CO75" s="97">
        <f ca="1" t="shared" si="82"/>
        <v>239089.0042353777</v>
      </c>
      <c r="CQ75" s="97">
        <f t="shared" si="105"/>
        <v>147507.32630843876</v>
      </c>
      <c r="CR75" s="97">
        <f t="shared" si="106"/>
        <v>154577.97178398818</v>
      </c>
      <c r="CS75" s="97">
        <f t="shared" si="107"/>
        <v>151165.3431900326</v>
      </c>
      <c r="CT75" s="97">
        <f t="shared" si="83"/>
        <v>155989.82338060974</v>
      </c>
      <c r="CV75" s="97">
        <f ca="1" t="shared" si="108"/>
        <v>258661.41808332442</v>
      </c>
      <c r="CW75" s="97">
        <f ca="1" t="shared" si="84"/>
        <v>221299.4073057615</v>
      </c>
      <c r="CX75" s="97">
        <f ca="1" t="shared" si="85"/>
        <v>221299.4073057615</v>
      </c>
      <c r="CY75" s="97">
        <f ca="1" t="shared" si="86"/>
        <v>239089.00423537768</v>
      </c>
    </row>
    <row r="76" spans="2:103" ht="12.75">
      <c r="B76" s="14">
        <v>10177</v>
      </c>
      <c r="C76" s="15" t="s">
        <v>75</v>
      </c>
      <c r="D76" s="16">
        <f>RHWM!D63</f>
        <v>1</v>
      </c>
      <c r="E76" s="16">
        <f>RHWM!E63</f>
        <v>0</v>
      </c>
      <c r="F76" s="18">
        <f>RHWM!M63</f>
        <v>8.657</v>
      </c>
      <c r="G76" s="18">
        <f>RHWM!N63</f>
        <v>10.083</v>
      </c>
      <c r="H76" s="18">
        <f>RHWM!O63</f>
        <v>11.665</v>
      </c>
      <c r="I76" s="18">
        <v>0</v>
      </c>
      <c r="J76" s="18">
        <v>0</v>
      </c>
      <c r="K76" s="18">
        <v>0</v>
      </c>
      <c r="L76" s="18">
        <v>0</v>
      </c>
      <c r="M76" s="18">
        <v>0</v>
      </c>
      <c r="N76" s="18">
        <v>0</v>
      </c>
      <c r="O76" s="81">
        <f t="shared" si="28"/>
        <v>11.665</v>
      </c>
      <c r="P76" s="63">
        <f t="shared" si="29"/>
        <v>10.083</v>
      </c>
      <c r="Q76" s="63">
        <f t="shared" si="30"/>
        <v>10.083</v>
      </c>
      <c r="R76" s="63">
        <f t="shared" si="31"/>
        <v>0</v>
      </c>
      <c r="S76" s="63">
        <f t="shared" si="32"/>
        <v>1.581999999999999</v>
      </c>
      <c r="T76" s="67">
        <f t="shared" si="87"/>
        <v>33.949064274110405</v>
      </c>
      <c r="U76" s="138">
        <f ca="1" t="shared" si="88"/>
        <v>0.9</v>
      </c>
      <c r="V76" s="66">
        <f ca="1" t="shared" si="89"/>
        <v>9.0747</v>
      </c>
      <c r="W76" s="66">
        <f ca="1" t="shared" si="33"/>
        <v>9.0747</v>
      </c>
      <c r="X76" s="66">
        <f ca="1" t="shared" si="34"/>
        <v>0</v>
      </c>
      <c r="Y76" s="63">
        <f ca="1" t="shared" si="35"/>
        <v>2.590299999999999</v>
      </c>
      <c r="Z76" s="67">
        <f ca="1" t="shared" si="90"/>
        <v>34.90901605903751</v>
      </c>
      <c r="AA76" s="68">
        <f ca="1" t="shared" si="91"/>
        <v>0.028276236928838294</v>
      </c>
      <c r="AB76" s="169">
        <f t="shared" si="36"/>
        <v>10.083</v>
      </c>
      <c r="AC76" s="169">
        <f t="shared" si="37"/>
        <v>10.083</v>
      </c>
      <c r="AD76" s="169">
        <v>0</v>
      </c>
      <c r="AE76" s="171">
        <f t="shared" si="38"/>
        <v>0</v>
      </c>
      <c r="AF76" s="182">
        <v>0</v>
      </c>
      <c r="AG76" s="182">
        <f t="shared" si="39"/>
        <v>0</v>
      </c>
      <c r="AH76" s="182">
        <f t="shared" si="40"/>
        <v>0</v>
      </c>
      <c r="AI76" s="182">
        <v>0</v>
      </c>
      <c r="AJ76" s="171">
        <f t="shared" si="41"/>
        <v>0</v>
      </c>
      <c r="AK76" s="171">
        <f t="shared" si="42"/>
        <v>10.083</v>
      </c>
      <c r="AL76" s="171">
        <f t="shared" si="43"/>
        <v>0.6434770687643477</v>
      </c>
      <c r="AM76" s="171">
        <f t="shared" si="44"/>
        <v>10.726477068764348</v>
      </c>
      <c r="AN76" s="81">
        <f t="shared" si="45"/>
        <v>10.726477068764348</v>
      </c>
      <c r="AO76" s="63">
        <f t="shared" si="46"/>
        <v>10.083</v>
      </c>
      <c r="AP76" s="63">
        <f t="shared" si="47"/>
        <v>10.083</v>
      </c>
      <c r="AQ76" s="63">
        <f t="shared" si="48"/>
        <v>0</v>
      </c>
      <c r="AR76" s="63">
        <f t="shared" si="49"/>
        <v>0.6434770687643478</v>
      </c>
      <c r="AS76" s="67">
        <f t="shared" si="92"/>
        <v>35.5763854636149</v>
      </c>
      <c r="AT76" s="65">
        <f ca="1" t="shared" si="93"/>
        <v>0.9</v>
      </c>
      <c r="AU76" s="66">
        <f ca="1" t="shared" si="50"/>
        <v>9.0747</v>
      </c>
      <c r="AV76" s="66">
        <f ca="1" t="shared" si="51"/>
        <v>9.0747</v>
      </c>
      <c r="AW76" s="66">
        <f ca="1" t="shared" si="52"/>
        <v>0</v>
      </c>
      <c r="AX76" s="63">
        <f ca="1" t="shared" si="53"/>
        <v>1.651777068764348</v>
      </c>
      <c r="AY76" s="67">
        <f ca="1" t="shared" si="94"/>
        <v>36.38031310262951</v>
      </c>
      <c r="AZ76" s="65">
        <f ca="1" t="shared" si="54"/>
        <v>0.0225972264618286</v>
      </c>
      <c r="BA76" s="68">
        <f ca="1" t="shared" si="95"/>
        <v>0.0421466202629075</v>
      </c>
      <c r="BB76" s="169">
        <f t="shared" si="55"/>
        <v>10.083</v>
      </c>
      <c r="BC76" s="169">
        <f t="shared" si="56"/>
        <v>10.083</v>
      </c>
      <c r="BD76" s="169">
        <v>0</v>
      </c>
      <c r="BE76" s="171">
        <f t="shared" si="57"/>
        <v>0</v>
      </c>
      <c r="BF76" s="182">
        <v>0</v>
      </c>
      <c r="BG76" s="182">
        <f t="shared" si="58"/>
        <v>0</v>
      </c>
      <c r="BH76" s="182">
        <f t="shared" si="59"/>
        <v>0</v>
      </c>
      <c r="BI76" s="169">
        <f t="shared" si="60"/>
        <v>0</v>
      </c>
      <c r="BJ76" s="171">
        <f t="shared" si="61"/>
        <v>10.083</v>
      </c>
      <c r="BK76" s="171">
        <f t="shared" si="62"/>
        <v>0.19345627713070573</v>
      </c>
      <c r="BL76" s="171">
        <f t="shared" si="63"/>
        <v>10.276456277130706</v>
      </c>
      <c r="BM76" s="81">
        <f t="shared" si="64"/>
        <v>10.276456277130706</v>
      </c>
      <c r="BN76" s="63">
        <f t="shared" si="96"/>
        <v>10.083</v>
      </c>
      <c r="BO76" s="63">
        <f t="shared" si="65"/>
        <v>10.083</v>
      </c>
      <c r="BP76" s="63">
        <f t="shared" si="66"/>
        <v>0</v>
      </c>
      <c r="BQ76" s="63">
        <f t="shared" si="67"/>
        <v>0.19345627713070535</v>
      </c>
      <c r="BR76" s="67">
        <f t="shared" si="68"/>
        <v>34.790963136607154</v>
      </c>
      <c r="BS76" s="69">
        <f ca="1" t="shared" si="97"/>
        <v>0.9</v>
      </c>
      <c r="BT76" s="66">
        <f ca="1" t="shared" si="69"/>
        <v>9.0747</v>
      </c>
      <c r="BU76" s="66">
        <f ca="1" t="shared" si="70"/>
        <v>9.0747</v>
      </c>
      <c r="BV76" s="66">
        <f ca="1" t="shared" si="71"/>
        <v>0</v>
      </c>
      <c r="BW76" s="63">
        <f ca="1" t="shared" si="72"/>
        <v>1.2017562771307055</v>
      </c>
      <c r="BX76" s="67">
        <f ca="1" t="shared" si="98"/>
        <v>35.05800570624853</v>
      </c>
      <c r="BY76" s="65">
        <f ca="1" t="shared" si="73"/>
        <v>0.007675630266193778</v>
      </c>
      <c r="BZ76" s="68">
        <f ca="1" t="shared" si="99"/>
        <v>0.0042679417534727815</v>
      </c>
      <c r="CA76" s="81">
        <f t="shared" si="74"/>
        <v>10.083</v>
      </c>
      <c r="CB76" s="63">
        <f t="shared" si="75"/>
        <v>10.083</v>
      </c>
      <c r="CC76" s="67">
        <f t="shared" si="76"/>
        <v>35.90132553133049</v>
      </c>
      <c r="CD76" s="69">
        <f ca="1" t="shared" si="100"/>
        <v>0.9</v>
      </c>
      <c r="CE76" s="190">
        <f ca="1" t="shared" si="77"/>
        <v>9.0747</v>
      </c>
      <c r="CF76" s="70">
        <f ca="1" t="shared" si="78"/>
        <v>9.0747</v>
      </c>
      <c r="CG76" s="67">
        <f ca="1" t="shared" si="79"/>
        <v>39.30481757441425</v>
      </c>
      <c r="CH76" s="65">
        <f ca="1" t="shared" si="80"/>
        <v>0.09480129194989151</v>
      </c>
      <c r="CI76" s="65">
        <f ca="1" t="shared" si="101"/>
        <v>0.1259216675698518</v>
      </c>
      <c r="CJ76" s="68">
        <f ca="1" t="shared" si="81"/>
        <v>0.12113672134546993</v>
      </c>
      <c r="CL76" s="97">
        <f ca="1" t="shared" si="102"/>
        <v>2775070.3087511016</v>
      </c>
      <c r="CM76" s="97">
        <f ca="1" t="shared" si="103"/>
        <v>2892030.143256904</v>
      </c>
      <c r="CN76" s="97">
        <f ca="1" t="shared" si="104"/>
        <v>2786914.1471906435</v>
      </c>
      <c r="CO76" s="97">
        <f ca="1" t="shared" si="82"/>
        <v>3124511.789652624</v>
      </c>
      <c r="CQ76" s="97">
        <f t="shared" si="105"/>
        <v>2998621.716064492</v>
      </c>
      <c r="CR76" s="97">
        <f t="shared" si="106"/>
        <v>3142358.2449555504</v>
      </c>
      <c r="CS76" s="97">
        <f t="shared" si="107"/>
        <v>3072984.184244151</v>
      </c>
      <c r="CT76" s="97">
        <f t="shared" si="83"/>
        <v>3171059.252311871</v>
      </c>
      <c r="CV76" s="97">
        <f ca="1" t="shared" si="108"/>
        <v>2775070.3087511016</v>
      </c>
      <c r="CW76" s="97">
        <f ca="1" t="shared" si="84"/>
        <v>2892030.143256904</v>
      </c>
      <c r="CX76" s="97">
        <f ca="1" t="shared" si="85"/>
        <v>2892030.143256904</v>
      </c>
      <c r="CY76" s="97">
        <f ca="1" t="shared" si="86"/>
        <v>3124511.789652624</v>
      </c>
    </row>
    <row r="77" spans="2:103" ht="12.75">
      <c r="B77" s="14">
        <v>10179</v>
      </c>
      <c r="C77" s="15" t="s">
        <v>76</v>
      </c>
      <c r="D77" s="16">
        <f>RHWM!D64</f>
        <v>0</v>
      </c>
      <c r="E77" s="16">
        <f>RHWM!E64</f>
        <v>1</v>
      </c>
      <c r="F77" s="18">
        <f>RHWM!M64</f>
        <v>192.806</v>
      </c>
      <c r="G77" s="18">
        <f>RHWM!N64</f>
        <v>195.664</v>
      </c>
      <c r="H77" s="18">
        <f>RHWM!O64</f>
        <v>166.822</v>
      </c>
      <c r="I77" s="18">
        <f>MAX(F77-$H77,0)</f>
        <v>25.98400000000001</v>
      </c>
      <c r="J77" s="18">
        <f>MAX(G77-$H77,0)</f>
        <v>28.841999999999985</v>
      </c>
      <c r="K77" s="18">
        <v>0</v>
      </c>
      <c r="L77" s="18">
        <v>0</v>
      </c>
      <c r="M77" s="18">
        <f>I77</f>
        <v>25.98400000000001</v>
      </c>
      <c r="N77" s="18">
        <f>J77</f>
        <v>28.841999999999985</v>
      </c>
      <c r="O77" s="81">
        <f t="shared" si="28"/>
        <v>166.822</v>
      </c>
      <c r="P77" s="63">
        <f t="shared" si="29"/>
        <v>195.664</v>
      </c>
      <c r="Q77" s="63">
        <f t="shared" si="30"/>
        <v>166.822</v>
      </c>
      <c r="R77" s="63">
        <f t="shared" si="31"/>
        <v>28.841999999999985</v>
      </c>
      <c r="S77" s="63">
        <f t="shared" si="32"/>
        <v>0</v>
      </c>
      <c r="T77" s="67">
        <f t="shared" si="87"/>
        <v>38.249028131570675</v>
      </c>
      <c r="U77" s="138">
        <f ca="1" t="shared" si="88"/>
        <v>1.11</v>
      </c>
      <c r="V77" s="66">
        <f ca="1" t="shared" si="89"/>
        <v>217.18704</v>
      </c>
      <c r="W77" s="66">
        <f ca="1" t="shared" si="33"/>
        <v>166.822</v>
      </c>
      <c r="X77" s="66">
        <f ca="1" t="shared" si="34"/>
        <v>50.36503999999999</v>
      </c>
      <c r="Y77" s="63">
        <f ca="1" t="shared" si="35"/>
        <v>0</v>
      </c>
      <c r="Z77" s="67">
        <f ca="1" t="shared" si="90"/>
        <v>41.45106080823587</v>
      </c>
      <c r="AA77" s="68">
        <f ca="1" t="shared" si="91"/>
        <v>0.08371539966063213</v>
      </c>
      <c r="AB77" s="169">
        <f t="shared" si="36"/>
        <v>166.822</v>
      </c>
      <c r="AC77" s="169">
        <f t="shared" si="37"/>
        <v>166.822</v>
      </c>
      <c r="AD77" s="169">
        <v>2.8874999999999997</v>
      </c>
      <c r="AE77" s="171">
        <f t="shared" si="38"/>
        <v>1.4437499999999999</v>
      </c>
      <c r="AF77" s="182">
        <v>0</v>
      </c>
      <c r="AG77" s="182">
        <f t="shared" si="39"/>
        <v>0</v>
      </c>
      <c r="AH77" s="182">
        <f t="shared" si="40"/>
        <v>0</v>
      </c>
      <c r="AI77" s="182">
        <v>9.404223744292237</v>
      </c>
      <c r="AJ77" s="171">
        <f t="shared" si="41"/>
        <v>14.420999999999992</v>
      </c>
      <c r="AK77" s="171">
        <f t="shared" si="42"/>
        <v>182.68675</v>
      </c>
      <c r="AL77" s="171">
        <f t="shared" si="43"/>
        <v>11.658706177931686</v>
      </c>
      <c r="AM77" s="171">
        <f t="shared" si="44"/>
        <v>194.34545617793168</v>
      </c>
      <c r="AN77" s="81">
        <f t="shared" si="45"/>
        <v>194.34545617793168</v>
      </c>
      <c r="AO77" s="63">
        <f t="shared" si="46"/>
        <v>195.664</v>
      </c>
      <c r="AP77" s="63">
        <f t="shared" si="47"/>
        <v>194.34545617793168</v>
      </c>
      <c r="AQ77" s="63">
        <f t="shared" si="48"/>
        <v>1.3185438220683068</v>
      </c>
      <c r="AR77" s="63">
        <f t="shared" si="49"/>
        <v>0</v>
      </c>
      <c r="AS77" s="67">
        <f t="shared" si="92"/>
        <v>35.76199683200347</v>
      </c>
      <c r="AT77" s="65">
        <f ca="1" t="shared" si="93"/>
        <v>1.11</v>
      </c>
      <c r="AU77" s="66">
        <f ca="1" t="shared" si="50"/>
        <v>217.18704</v>
      </c>
      <c r="AV77" s="66">
        <f ca="1" t="shared" si="51"/>
        <v>194.34545617793168</v>
      </c>
      <c r="AW77" s="66">
        <f ca="1" t="shared" si="52"/>
        <v>22.841583822068316</v>
      </c>
      <c r="AX77" s="63">
        <f ca="1" t="shared" si="53"/>
        <v>0</v>
      </c>
      <c r="AY77" s="67">
        <f ca="1" t="shared" si="94"/>
        <v>39.192528783832906</v>
      </c>
      <c r="AZ77" s="65">
        <f ca="1" t="shared" si="54"/>
        <v>0.09592674502894227</v>
      </c>
      <c r="BA77" s="68">
        <f ca="1" t="shared" si="95"/>
        <v>-0.05448671229070745</v>
      </c>
      <c r="BB77" s="169">
        <f t="shared" si="55"/>
        <v>166.822</v>
      </c>
      <c r="BC77" s="169">
        <f t="shared" si="56"/>
        <v>166.822</v>
      </c>
      <c r="BD77" s="169">
        <v>2.8874999999999997</v>
      </c>
      <c r="BE77" s="171">
        <f t="shared" si="57"/>
        <v>1.4437499999999999</v>
      </c>
      <c r="BF77" s="182">
        <v>0</v>
      </c>
      <c r="BG77" s="182">
        <f t="shared" si="58"/>
        <v>0</v>
      </c>
      <c r="BH77" s="182">
        <f t="shared" si="59"/>
        <v>0</v>
      </c>
      <c r="BI77" s="169">
        <f t="shared" si="60"/>
        <v>7.210499999999996</v>
      </c>
      <c r="BJ77" s="171">
        <f t="shared" si="61"/>
        <v>175.47625</v>
      </c>
      <c r="BK77" s="171">
        <f t="shared" si="62"/>
        <v>3.3667541455774077</v>
      </c>
      <c r="BL77" s="171">
        <f t="shared" si="63"/>
        <v>178.8430041455774</v>
      </c>
      <c r="BM77" s="81">
        <f t="shared" si="64"/>
        <v>178.8430041455774</v>
      </c>
      <c r="BN77" s="63">
        <f t="shared" si="96"/>
        <v>195.664</v>
      </c>
      <c r="BO77" s="63">
        <f t="shared" si="65"/>
        <v>178.8430041455774</v>
      </c>
      <c r="BP77" s="63">
        <f t="shared" si="66"/>
        <v>16.82099585442259</v>
      </c>
      <c r="BQ77" s="63">
        <f t="shared" si="67"/>
        <v>0</v>
      </c>
      <c r="BR77" s="67">
        <f t="shared" si="68"/>
        <v>37.22637594447634</v>
      </c>
      <c r="BS77" s="69">
        <f ca="1" t="shared" si="97"/>
        <v>1.11</v>
      </c>
      <c r="BT77" s="66">
        <f ca="1" t="shared" si="69"/>
        <v>217.18704</v>
      </c>
      <c r="BU77" s="66">
        <f ca="1" t="shared" si="70"/>
        <v>178.8430041455774</v>
      </c>
      <c r="BV77" s="66">
        <f ca="1" t="shared" si="71"/>
        <v>38.3440358544226</v>
      </c>
      <c r="BW77" s="63">
        <f ca="1" t="shared" si="72"/>
        <v>0</v>
      </c>
      <c r="BX77" s="67">
        <f ca="1" t="shared" si="98"/>
        <v>40.01230737796066</v>
      </c>
      <c r="BY77" s="65">
        <f ca="1" t="shared" si="73"/>
        <v>0.07483756779439332</v>
      </c>
      <c r="BZ77" s="68">
        <f ca="1" t="shared" si="99"/>
        <v>-0.03470968902174265</v>
      </c>
      <c r="CA77" s="81">
        <f t="shared" si="74"/>
        <v>195.664</v>
      </c>
      <c r="CB77" s="63">
        <f t="shared" si="75"/>
        <v>195.664</v>
      </c>
      <c r="CC77" s="67">
        <f t="shared" si="76"/>
        <v>35.90132553133049</v>
      </c>
      <c r="CD77" s="69">
        <f ca="1" t="shared" si="100"/>
        <v>1.11</v>
      </c>
      <c r="CE77" s="190">
        <f ca="1" t="shared" si="77"/>
        <v>217.18704</v>
      </c>
      <c r="CF77" s="70">
        <f ca="1" t="shared" si="78"/>
        <v>217.18704</v>
      </c>
      <c r="CG77" s="67">
        <f ca="1" t="shared" si="79"/>
        <v>39.30481757441425</v>
      </c>
      <c r="CH77" s="65">
        <f ca="1" t="shared" si="80"/>
        <v>0.09480129194989151</v>
      </c>
      <c r="CI77" s="65">
        <f ca="1" t="shared" si="101"/>
        <v>-0.05177776375255483</v>
      </c>
      <c r="CJ77" s="68">
        <f ca="1" t="shared" si="81"/>
        <v>-0.017681804672332047</v>
      </c>
      <c r="CL77" s="97">
        <f ca="1" t="shared" si="102"/>
        <v>78863066.84777462</v>
      </c>
      <c r="CM77" s="97">
        <f ca="1" t="shared" si="103"/>
        <v>74566077.6140771</v>
      </c>
      <c r="CN77" s="97">
        <f ca="1" t="shared" si="104"/>
        <v>76125754.32218745</v>
      </c>
      <c r="CO77" s="97">
        <f ca="1" t="shared" si="82"/>
        <v>74779713.6037286</v>
      </c>
      <c r="CQ77" s="97">
        <f t="shared" si="105"/>
        <v>65559470.681340255</v>
      </c>
      <c r="CR77" s="97">
        <f t="shared" si="106"/>
        <v>61296657.64968122</v>
      </c>
      <c r="CS77" s="97">
        <f t="shared" si="107"/>
        <v>63806627.81572816</v>
      </c>
      <c r="CT77" s="97">
        <f t="shared" si="83"/>
        <v>61535469.3587573</v>
      </c>
      <c r="CV77" s="97">
        <f ca="1" t="shared" si="108"/>
        <v>78863066.84777462</v>
      </c>
      <c r="CW77" s="97">
        <f ca="1" t="shared" si="84"/>
        <v>74566077.61407709</v>
      </c>
      <c r="CX77" s="97">
        <f ca="1" t="shared" si="85"/>
        <v>74566077.61407709</v>
      </c>
      <c r="CY77" s="97">
        <f ca="1" t="shared" si="86"/>
        <v>74779713.6037286</v>
      </c>
    </row>
    <row r="78" spans="2:103" ht="12.75">
      <c r="B78" s="14">
        <v>10183</v>
      </c>
      <c r="C78" s="15" t="s">
        <v>77</v>
      </c>
      <c r="D78" s="16">
        <f>RHWM!D65</f>
        <v>1</v>
      </c>
      <c r="E78" s="16">
        <f>RHWM!E65</f>
        <v>0</v>
      </c>
      <c r="F78" s="18">
        <f>RHWM!M65</f>
        <v>134.609</v>
      </c>
      <c r="G78" s="18">
        <f>RHWM!N65</f>
        <v>136.496</v>
      </c>
      <c r="H78" s="18">
        <f>RHWM!O65</f>
        <v>117.351</v>
      </c>
      <c r="I78" s="18">
        <v>17.258</v>
      </c>
      <c r="J78" s="18">
        <v>19.145</v>
      </c>
      <c r="K78" s="18">
        <v>0</v>
      </c>
      <c r="L78" s="18">
        <v>0</v>
      </c>
      <c r="M78" s="18">
        <v>17.258</v>
      </c>
      <c r="N78" s="18">
        <v>19.145</v>
      </c>
      <c r="O78" s="81">
        <f t="shared" si="28"/>
        <v>117.351</v>
      </c>
      <c r="P78" s="63">
        <f t="shared" si="29"/>
        <v>136.496</v>
      </c>
      <c r="Q78" s="63">
        <f t="shared" si="30"/>
        <v>117.351</v>
      </c>
      <c r="R78" s="63">
        <f t="shared" si="31"/>
        <v>19.14500000000001</v>
      </c>
      <c r="S78" s="63">
        <f t="shared" si="32"/>
        <v>0</v>
      </c>
      <c r="T78" s="67">
        <f t="shared" si="87"/>
        <v>38.04059490117754</v>
      </c>
      <c r="U78" s="138">
        <f ca="1" t="shared" si="88"/>
        <v>1.24</v>
      </c>
      <c r="V78" s="66">
        <f ca="1" t="shared" si="89"/>
        <v>169.25504</v>
      </c>
      <c r="W78" s="66">
        <f ca="1" t="shared" si="33"/>
        <v>117.351</v>
      </c>
      <c r="X78" s="66">
        <f ca="1" t="shared" si="34"/>
        <v>51.90404000000001</v>
      </c>
      <c r="Y78" s="63">
        <f ca="1" t="shared" si="35"/>
        <v>0</v>
      </c>
      <c r="Z78" s="67">
        <f ca="1" t="shared" si="90"/>
        <v>43.560244636402615</v>
      </c>
      <c r="AA78" s="68">
        <f ca="1" t="shared" si="91"/>
        <v>0.14509893311511313</v>
      </c>
      <c r="AB78" s="169">
        <f t="shared" si="36"/>
        <v>117.351</v>
      </c>
      <c r="AC78" s="169">
        <f t="shared" si="37"/>
        <v>117.351</v>
      </c>
      <c r="AD78" s="169">
        <v>2.677</v>
      </c>
      <c r="AE78" s="171">
        <f t="shared" si="38"/>
        <v>1.3385</v>
      </c>
      <c r="AF78" s="182">
        <v>0</v>
      </c>
      <c r="AG78" s="182">
        <f t="shared" si="39"/>
        <v>0</v>
      </c>
      <c r="AH78" s="182">
        <f t="shared" si="40"/>
        <v>0</v>
      </c>
      <c r="AI78" s="182">
        <v>0</v>
      </c>
      <c r="AJ78" s="171">
        <f t="shared" si="41"/>
        <v>9.572500000000005</v>
      </c>
      <c r="AK78" s="171">
        <f t="shared" si="42"/>
        <v>128.262</v>
      </c>
      <c r="AL78" s="171">
        <f t="shared" si="43"/>
        <v>8.185426539110658</v>
      </c>
      <c r="AM78" s="171">
        <f t="shared" si="44"/>
        <v>136.44742653911067</v>
      </c>
      <c r="AN78" s="81">
        <f t="shared" si="45"/>
        <v>136.44742653911067</v>
      </c>
      <c r="AO78" s="63">
        <f t="shared" si="46"/>
        <v>136.496</v>
      </c>
      <c r="AP78" s="63">
        <f t="shared" si="47"/>
        <v>136.44742653911067</v>
      </c>
      <c r="AQ78" s="63">
        <f t="shared" si="48"/>
        <v>0.04857346088934378</v>
      </c>
      <c r="AR78" s="63">
        <f t="shared" si="49"/>
        <v>0</v>
      </c>
      <c r="AS78" s="67">
        <f t="shared" si="92"/>
        <v>35.58618713313953</v>
      </c>
      <c r="AT78" s="65">
        <f ca="1" t="shared" si="93"/>
        <v>1.24</v>
      </c>
      <c r="AU78" s="66">
        <f ca="1" t="shared" si="50"/>
        <v>169.25504</v>
      </c>
      <c r="AV78" s="66">
        <f ca="1" t="shared" si="51"/>
        <v>136.44742653911067</v>
      </c>
      <c r="AW78" s="66">
        <f ca="1" t="shared" si="52"/>
        <v>32.80761346088934</v>
      </c>
      <c r="AX78" s="63">
        <f ca="1" t="shared" si="53"/>
        <v>0</v>
      </c>
      <c r="AY78" s="67">
        <f ca="1" t="shared" si="94"/>
        <v>41.5634102310467</v>
      </c>
      <c r="AZ78" s="65">
        <f ca="1" t="shared" si="54"/>
        <v>0.1679646958395522</v>
      </c>
      <c r="BA78" s="68">
        <f ca="1" t="shared" si="95"/>
        <v>-0.0458407527786745</v>
      </c>
      <c r="BB78" s="169">
        <f t="shared" si="55"/>
        <v>117.351</v>
      </c>
      <c r="BC78" s="169">
        <f t="shared" si="56"/>
        <v>117.351</v>
      </c>
      <c r="BD78" s="169">
        <v>2.677</v>
      </c>
      <c r="BE78" s="171">
        <f t="shared" si="57"/>
        <v>1.3385</v>
      </c>
      <c r="BF78" s="182">
        <v>0</v>
      </c>
      <c r="BG78" s="182">
        <f t="shared" si="58"/>
        <v>0</v>
      </c>
      <c r="BH78" s="182">
        <f t="shared" si="59"/>
        <v>0</v>
      </c>
      <c r="BI78" s="169">
        <f t="shared" si="60"/>
        <v>4.786250000000003</v>
      </c>
      <c r="BJ78" s="171">
        <f t="shared" si="61"/>
        <v>123.47575</v>
      </c>
      <c r="BK78" s="171">
        <f t="shared" si="62"/>
        <v>2.36905275324028</v>
      </c>
      <c r="BL78" s="171">
        <f t="shared" si="63"/>
        <v>125.84480275324029</v>
      </c>
      <c r="BM78" s="81">
        <f t="shared" si="64"/>
        <v>125.84480275324029</v>
      </c>
      <c r="BN78" s="63">
        <f t="shared" si="96"/>
        <v>136.496</v>
      </c>
      <c r="BO78" s="63">
        <f t="shared" si="65"/>
        <v>125.84480275324029</v>
      </c>
      <c r="BP78" s="63">
        <f t="shared" si="66"/>
        <v>10.651197246759722</v>
      </c>
      <c r="BQ78" s="63">
        <f t="shared" si="67"/>
        <v>0</v>
      </c>
      <c r="BR78" s="67">
        <f t="shared" si="68"/>
        <v>37.00156388272957</v>
      </c>
      <c r="BS78" s="69">
        <f ca="1" t="shared" si="97"/>
        <v>1.24</v>
      </c>
      <c r="BT78" s="66">
        <f ca="1" t="shared" si="69"/>
        <v>169.25504</v>
      </c>
      <c r="BU78" s="66">
        <f ca="1" t="shared" si="70"/>
        <v>125.84480275324029</v>
      </c>
      <c r="BV78" s="66">
        <f ca="1" t="shared" si="71"/>
        <v>43.41023724675972</v>
      </c>
      <c r="BW78" s="63">
        <f ca="1" t="shared" si="72"/>
        <v>0</v>
      </c>
      <c r="BX78" s="67">
        <f ca="1" t="shared" si="98"/>
        <v>42.25529702418488</v>
      </c>
      <c r="BY78" s="65">
        <f ca="1" t="shared" si="73"/>
        <v>0.14198678623709404</v>
      </c>
      <c r="BZ78" s="68">
        <f ca="1" t="shared" si="99"/>
        <v>-0.02995730678535291</v>
      </c>
      <c r="CA78" s="81">
        <f t="shared" si="74"/>
        <v>136.496</v>
      </c>
      <c r="CB78" s="63">
        <f t="shared" si="75"/>
        <v>136.496</v>
      </c>
      <c r="CC78" s="67">
        <f t="shared" si="76"/>
        <v>35.90132553133049</v>
      </c>
      <c r="CD78" s="69">
        <f ca="1" t="shared" si="100"/>
        <v>1.24</v>
      </c>
      <c r="CE78" s="190">
        <f ca="1" t="shared" si="77"/>
        <v>169.25504</v>
      </c>
      <c r="CF78" s="70">
        <f ca="1" t="shared" si="78"/>
        <v>169.25504</v>
      </c>
      <c r="CG78" s="67">
        <f ca="1" t="shared" si="79"/>
        <v>39.30481757441425</v>
      </c>
      <c r="CH78" s="65">
        <f ca="1" t="shared" si="80"/>
        <v>0.09480129194989151</v>
      </c>
      <c r="CI78" s="65">
        <f ca="1" t="shared" si="101"/>
        <v>-0.09769061440100757</v>
      </c>
      <c r="CJ78" s="68">
        <f ca="1" t="shared" si="81"/>
        <v>-0.06982507892636314</v>
      </c>
      <c r="CL78" s="97">
        <f ca="1" t="shared" si="102"/>
        <v>64585648.707494415</v>
      </c>
      <c r="CM78" s="97">
        <f ca="1" t="shared" si="103"/>
        <v>61624993.952043846</v>
      </c>
      <c r="CN78" s="97">
        <f ca="1" t="shared" si="104"/>
        <v>62650836.61523296</v>
      </c>
      <c r="CO78" s="97">
        <f ca="1" t="shared" si="82"/>
        <v>58276237.00377164</v>
      </c>
      <c r="CQ78" s="97">
        <f t="shared" si="105"/>
        <v>45485328.00468871</v>
      </c>
      <c r="CR78" s="97">
        <f t="shared" si="106"/>
        <v>42550580.462583125</v>
      </c>
      <c r="CS78" s="97">
        <f t="shared" si="107"/>
        <v>44242953.4623366</v>
      </c>
      <c r="CT78" s="97">
        <f t="shared" si="83"/>
        <v>42927393.008386515</v>
      </c>
      <c r="CV78" s="97">
        <f ca="1" t="shared" si="108"/>
        <v>64585648.70749441</v>
      </c>
      <c r="CW78" s="97">
        <f ca="1" t="shared" si="84"/>
        <v>61624993.95204384</v>
      </c>
      <c r="CX78" s="97">
        <f ca="1" t="shared" si="85"/>
        <v>61624993.95204384</v>
      </c>
      <c r="CY78" s="97">
        <f ca="1" t="shared" si="86"/>
        <v>58276237.00377164</v>
      </c>
    </row>
    <row r="79" spans="2:103" ht="12.75">
      <c r="B79" s="14">
        <v>10186</v>
      </c>
      <c r="C79" s="15" t="s">
        <v>78</v>
      </c>
      <c r="D79" s="16">
        <f>RHWM!D66</f>
        <v>1</v>
      </c>
      <c r="E79" s="16">
        <f>RHWM!E66</f>
        <v>0</v>
      </c>
      <c r="F79" s="18">
        <f>RHWM!M66</f>
        <v>17.647</v>
      </c>
      <c r="G79" s="18">
        <f>RHWM!N66</f>
        <v>17.694</v>
      </c>
      <c r="H79" s="18">
        <f>RHWM!O66</f>
        <v>21.317</v>
      </c>
      <c r="I79" s="18">
        <v>0</v>
      </c>
      <c r="J79" s="18">
        <v>0</v>
      </c>
      <c r="K79" s="18">
        <v>0</v>
      </c>
      <c r="L79" s="18">
        <v>0</v>
      </c>
      <c r="M79" s="18">
        <v>0</v>
      </c>
      <c r="N79" s="18">
        <v>0</v>
      </c>
      <c r="O79" s="81">
        <f t="shared" si="28"/>
        <v>21.317</v>
      </c>
      <c r="P79" s="63">
        <f t="shared" si="29"/>
        <v>17.694</v>
      </c>
      <c r="Q79" s="63">
        <f t="shared" si="30"/>
        <v>17.694</v>
      </c>
      <c r="R79" s="63">
        <f t="shared" si="31"/>
        <v>0</v>
      </c>
      <c r="S79" s="63">
        <f t="shared" si="32"/>
        <v>3.623000000000001</v>
      </c>
      <c r="T79" s="67">
        <f t="shared" si="87"/>
        <v>33.949064274110405</v>
      </c>
      <c r="U79" s="138">
        <f ca="1" t="shared" si="88"/>
        <v>0.97</v>
      </c>
      <c r="V79" s="66">
        <f ca="1" t="shared" si="89"/>
        <v>17.163179999999997</v>
      </c>
      <c r="W79" s="66">
        <f ca="1" t="shared" si="33"/>
        <v>17.163179999999997</v>
      </c>
      <c r="X79" s="66">
        <f ca="1" t="shared" si="34"/>
        <v>0</v>
      </c>
      <c r="Y79" s="63">
        <f ca="1" t="shared" si="35"/>
        <v>4.153820000000003</v>
      </c>
      <c r="Z79" s="67">
        <f ca="1" t="shared" si="90"/>
        <v>34.90901605903751</v>
      </c>
      <c r="AA79" s="68">
        <f ca="1" t="shared" si="91"/>
        <v>0.028276236928838294</v>
      </c>
      <c r="AB79" s="169">
        <f t="shared" si="36"/>
        <v>17.694</v>
      </c>
      <c r="AC79" s="169">
        <f t="shared" si="37"/>
        <v>17.694</v>
      </c>
      <c r="AD79" s="169">
        <v>0.0045000000000000005</v>
      </c>
      <c r="AE79" s="171">
        <f t="shared" si="38"/>
        <v>0.0022500000000000003</v>
      </c>
      <c r="AF79" s="182">
        <v>0</v>
      </c>
      <c r="AG79" s="182">
        <f t="shared" si="39"/>
        <v>0</v>
      </c>
      <c r="AH79" s="182">
        <f t="shared" si="40"/>
        <v>0</v>
      </c>
      <c r="AI79" s="182">
        <v>0</v>
      </c>
      <c r="AJ79" s="171">
        <f t="shared" si="41"/>
        <v>0</v>
      </c>
      <c r="AK79" s="171">
        <f t="shared" si="42"/>
        <v>17.69625</v>
      </c>
      <c r="AL79" s="171">
        <f t="shared" si="43"/>
        <v>1.1293395892215699</v>
      </c>
      <c r="AM79" s="171">
        <f t="shared" si="44"/>
        <v>18.82558958922157</v>
      </c>
      <c r="AN79" s="81">
        <f t="shared" si="45"/>
        <v>18.82558958922157</v>
      </c>
      <c r="AO79" s="63">
        <f t="shared" si="46"/>
        <v>17.694</v>
      </c>
      <c r="AP79" s="63">
        <f t="shared" si="47"/>
        <v>17.694</v>
      </c>
      <c r="AQ79" s="63">
        <f t="shared" si="48"/>
        <v>0</v>
      </c>
      <c r="AR79" s="63">
        <f t="shared" si="49"/>
        <v>1.1315895892215693</v>
      </c>
      <c r="AS79" s="67">
        <f t="shared" si="92"/>
        <v>35.5763854636149</v>
      </c>
      <c r="AT79" s="65">
        <f ca="1" t="shared" si="93"/>
        <v>0.97</v>
      </c>
      <c r="AU79" s="66">
        <f ca="1" t="shared" si="50"/>
        <v>17.163179999999997</v>
      </c>
      <c r="AV79" s="66">
        <f ca="1" t="shared" si="51"/>
        <v>17.163179999999997</v>
      </c>
      <c r="AW79" s="66">
        <f ca="1" t="shared" si="52"/>
        <v>0</v>
      </c>
      <c r="AX79" s="63">
        <f ca="1" t="shared" si="53"/>
        <v>1.6624095892215713</v>
      </c>
      <c r="AY79" s="67">
        <f ca="1" t="shared" si="94"/>
        <v>36.38031310262951</v>
      </c>
      <c r="AZ79" s="65">
        <f ca="1" t="shared" si="54"/>
        <v>0.0225972264618286</v>
      </c>
      <c r="BA79" s="68">
        <f ca="1" t="shared" si="95"/>
        <v>0.0421466202629075</v>
      </c>
      <c r="BB79" s="169">
        <f t="shared" si="55"/>
        <v>17.694</v>
      </c>
      <c r="BC79" s="169">
        <f t="shared" si="56"/>
        <v>17.694</v>
      </c>
      <c r="BD79" s="169">
        <v>0.0045000000000000005</v>
      </c>
      <c r="BE79" s="171">
        <f t="shared" si="57"/>
        <v>0.0022500000000000003</v>
      </c>
      <c r="BF79" s="182">
        <v>0</v>
      </c>
      <c r="BG79" s="182">
        <f t="shared" si="58"/>
        <v>0</v>
      </c>
      <c r="BH79" s="182">
        <f t="shared" si="59"/>
        <v>0</v>
      </c>
      <c r="BI79" s="169">
        <f t="shared" si="60"/>
        <v>0</v>
      </c>
      <c r="BJ79" s="171">
        <f t="shared" si="61"/>
        <v>17.69625</v>
      </c>
      <c r="BK79" s="171">
        <f t="shared" si="62"/>
        <v>0.3395269903971289</v>
      </c>
      <c r="BL79" s="171">
        <f t="shared" si="63"/>
        <v>18.035776990397128</v>
      </c>
      <c r="BM79" s="81">
        <f t="shared" si="64"/>
        <v>18.035776990397128</v>
      </c>
      <c r="BN79" s="63">
        <f t="shared" si="96"/>
        <v>17.694</v>
      </c>
      <c r="BO79" s="63">
        <f t="shared" si="65"/>
        <v>17.694</v>
      </c>
      <c r="BP79" s="63">
        <f t="shared" si="66"/>
        <v>0</v>
      </c>
      <c r="BQ79" s="63">
        <f t="shared" si="67"/>
        <v>0.34177699039712905</v>
      </c>
      <c r="BR79" s="67">
        <f t="shared" si="68"/>
        <v>34.790963136607154</v>
      </c>
      <c r="BS79" s="69">
        <f ca="1" t="shared" si="97"/>
        <v>0.97</v>
      </c>
      <c r="BT79" s="66">
        <f ca="1" t="shared" si="69"/>
        <v>17.163179999999997</v>
      </c>
      <c r="BU79" s="66">
        <f ca="1" t="shared" si="70"/>
        <v>17.163179999999997</v>
      </c>
      <c r="BV79" s="66">
        <f ca="1" t="shared" si="71"/>
        <v>0</v>
      </c>
      <c r="BW79" s="63">
        <f ca="1" t="shared" si="72"/>
        <v>0.8725969903971311</v>
      </c>
      <c r="BX79" s="67">
        <f ca="1" t="shared" si="98"/>
        <v>35.05800570624853</v>
      </c>
      <c r="BY79" s="65">
        <f ca="1" t="shared" si="73"/>
        <v>0.007675630266193778</v>
      </c>
      <c r="BZ79" s="68">
        <f ca="1" t="shared" si="99"/>
        <v>0.0042679417534727815</v>
      </c>
      <c r="CA79" s="81">
        <f t="shared" si="74"/>
        <v>17.694</v>
      </c>
      <c r="CB79" s="63">
        <f t="shared" si="75"/>
        <v>17.694</v>
      </c>
      <c r="CC79" s="67">
        <f t="shared" si="76"/>
        <v>35.90132553133049</v>
      </c>
      <c r="CD79" s="69">
        <f ca="1" t="shared" si="100"/>
        <v>0.97</v>
      </c>
      <c r="CE79" s="190">
        <f ca="1" t="shared" si="77"/>
        <v>17.163179999999997</v>
      </c>
      <c r="CF79" s="70">
        <f ca="1" t="shared" si="78"/>
        <v>17.163179999999997</v>
      </c>
      <c r="CG79" s="67">
        <f ca="1" t="shared" si="79"/>
        <v>39.30481757441425</v>
      </c>
      <c r="CH79" s="65">
        <f ca="1" t="shared" si="80"/>
        <v>0.09480129194989151</v>
      </c>
      <c r="CI79" s="65">
        <f ca="1" t="shared" si="101"/>
        <v>0.1259216675698518</v>
      </c>
      <c r="CJ79" s="68">
        <f ca="1" t="shared" si="81"/>
        <v>0.12113672134546993</v>
      </c>
      <c r="CL79" s="97">
        <f ca="1" t="shared" si="102"/>
        <v>5248551.601898766</v>
      </c>
      <c r="CM79" s="97">
        <f ca="1" t="shared" si="103"/>
        <v>5469760.313194268</v>
      </c>
      <c r="CN79" s="97">
        <f ca="1" t="shared" si="104"/>
        <v>5270952.114425765</v>
      </c>
      <c r="CO79" s="97">
        <f ca="1" t="shared" si="82"/>
        <v>5909457.971936275</v>
      </c>
      <c r="CQ79" s="97">
        <f t="shared" si="105"/>
        <v>5262085.951011119</v>
      </c>
      <c r="CR79" s="97">
        <f t="shared" si="106"/>
        <v>5514319.82408445</v>
      </c>
      <c r="CS79" s="97">
        <f t="shared" si="107"/>
        <v>5392579.803234752</v>
      </c>
      <c r="CT79" s="97">
        <f t="shared" si="83"/>
        <v>5564685.352613929</v>
      </c>
      <c r="CV79" s="97">
        <f ca="1" t="shared" si="108"/>
        <v>5248551.601898765</v>
      </c>
      <c r="CW79" s="97">
        <f ca="1" t="shared" si="84"/>
        <v>5469760.313194267</v>
      </c>
      <c r="CX79" s="97">
        <f ca="1" t="shared" si="85"/>
        <v>5469760.313194267</v>
      </c>
      <c r="CY79" s="97">
        <f ca="1" t="shared" si="86"/>
        <v>5909457.971936275</v>
      </c>
    </row>
    <row r="80" spans="2:103" ht="12.75">
      <c r="B80" s="14">
        <v>10190</v>
      </c>
      <c r="C80" s="15" t="s">
        <v>79</v>
      </c>
      <c r="D80" s="16">
        <f>RHWM!D67</f>
        <v>1</v>
      </c>
      <c r="E80" s="16">
        <f>RHWM!E67</f>
        <v>0</v>
      </c>
      <c r="F80" s="18">
        <f>RHWM!M67</f>
        <v>7.421</v>
      </c>
      <c r="G80" s="18">
        <f>RHWM!N67</f>
        <v>7.415</v>
      </c>
      <c r="H80" s="18">
        <f>RHWM!O67</f>
        <v>5.192</v>
      </c>
      <c r="I80" s="18">
        <v>2.229</v>
      </c>
      <c r="J80" s="18">
        <v>2.223</v>
      </c>
      <c r="K80" s="18">
        <v>0</v>
      </c>
      <c r="L80" s="18">
        <v>0</v>
      </c>
      <c r="M80" s="18">
        <v>2.229</v>
      </c>
      <c r="N80" s="18">
        <v>2.223</v>
      </c>
      <c r="O80" s="81">
        <f t="shared" si="28"/>
        <v>5.192</v>
      </c>
      <c r="P80" s="63">
        <f t="shared" si="29"/>
        <v>7.415</v>
      </c>
      <c r="Q80" s="63">
        <f t="shared" si="30"/>
        <v>5.192</v>
      </c>
      <c r="R80" s="63">
        <f t="shared" si="31"/>
        <v>2.223</v>
      </c>
      <c r="S80" s="63">
        <f t="shared" si="32"/>
        <v>0</v>
      </c>
      <c r="T80" s="67">
        <f t="shared" si="87"/>
        <v>42.694443925985325</v>
      </c>
      <c r="U80" s="138">
        <f ca="1" t="shared" si="88"/>
        <v>1.25</v>
      </c>
      <c r="V80" s="66">
        <f ca="1" t="shared" si="89"/>
        <v>9.26875</v>
      </c>
      <c r="W80" s="66">
        <f ca="1" t="shared" si="33"/>
        <v>5.192</v>
      </c>
      <c r="X80" s="66">
        <f ca="1" t="shared" si="34"/>
        <v>4.0767500000000005</v>
      </c>
      <c r="Y80" s="63">
        <f ca="1" t="shared" si="35"/>
        <v>0</v>
      </c>
      <c r="Z80" s="67">
        <f ca="1" t="shared" si="90"/>
        <v>47.317283493299826</v>
      </c>
      <c r="AA80" s="68">
        <f ca="1" t="shared" si="91"/>
        <v>0.10827731063387569</v>
      </c>
      <c r="AB80" s="169">
        <f t="shared" si="36"/>
        <v>5.192</v>
      </c>
      <c r="AC80" s="169">
        <f t="shared" si="37"/>
        <v>5.192</v>
      </c>
      <c r="AD80" s="169">
        <v>0.018</v>
      </c>
      <c r="AE80" s="171">
        <f t="shared" si="38"/>
        <v>0.009</v>
      </c>
      <c r="AF80" s="182">
        <v>6.8</v>
      </c>
      <c r="AG80" s="182">
        <f t="shared" si="39"/>
        <v>0</v>
      </c>
      <c r="AH80" s="182">
        <f t="shared" si="40"/>
        <v>0</v>
      </c>
      <c r="AI80" s="182">
        <v>0</v>
      </c>
      <c r="AJ80" s="171">
        <f t="shared" si="41"/>
        <v>1.1115</v>
      </c>
      <c r="AK80" s="171">
        <f t="shared" si="42"/>
        <v>6.3125</v>
      </c>
      <c r="AL80" s="171">
        <f t="shared" si="43"/>
        <v>0.4028512344118759</v>
      </c>
      <c r="AM80" s="171">
        <f t="shared" si="44"/>
        <v>6.715351234411876</v>
      </c>
      <c r="AN80" s="81">
        <f t="shared" si="45"/>
        <v>6.715351234411876</v>
      </c>
      <c r="AO80" s="63">
        <f t="shared" si="46"/>
        <v>7.415</v>
      </c>
      <c r="AP80" s="63">
        <f t="shared" si="47"/>
        <v>6.715351234411876</v>
      </c>
      <c r="AQ80" s="63">
        <f t="shared" si="48"/>
        <v>0.6996487655881243</v>
      </c>
      <c r="AR80" s="63">
        <f t="shared" si="49"/>
        <v>0</v>
      </c>
      <c r="AS80" s="67">
        <f t="shared" si="92"/>
        <v>38.17528713727868</v>
      </c>
      <c r="AT80" s="65">
        <f ca="1" t="shared" si="93"/>
        <v>1.25</v>
      </c>
      <c r="AU80" s="66">
        <f ca="1" t="shared" si="50"/>
        <v>9.26875</v>
      </c>
      <c r="AV80" s="66">
        <f ca="1" t="shared" si="51"/>
        <v>6.715351234411876</v>
      </c>
      <c r="AW80" s="66">
        <f ca="1" t="shared" si="52"/>
        <v>2.553398765588125</v>
      </c>
      <c r="AX80" s="63">
        <f ca="1" t="shared" si="53"/>
        <v>0</v>
      </c>
      <c r="AY80" s="67">
        <f ca="1" t="shared" si="94"/>
        <v>43.74668758850503</v>
      </c>
      <c r="AZ80" s="65">
        <f ca="1" t="shared" si="54"/>
        <v>0.14594259451648783</v>
      </c>
      <c r="BA80" s="68">
        <f ca="1" t="shared" si="95"/>
        <v>-0.07546071205250815</v>
      </c>
      <c r="BB80" s="169">
        <f t="shared" si="55"/>
        <v>5.192</v>
      </c>
      <c r="BC80" s="169">
        <f t="shared" si="56"/>
        <v>5.192</v>
      </c>
      <c r="BD80" s="169">
        <v>0.018</v>
      </c>
      <c r="BE80" s="171">
        <f t="shared" si="57"/>
        <v>0.009</v>
      </c>
      <c r="BF80" s="182">
        <v>6.8</v>
      </c>
      <c r="BG80" s="182">
        <f t="shared" si="58"/>
        <v>0</v>
      </c>
      <c r="BH80" s="182">
        <f t="shared" si="59"/>
        <v>0</v>
      </c>
      <c r="BI80" s="169">
        <f t="shared" si="60"/>
        <v>0.55575</v>
      </c>
      <c r="BJ80" s="171">
        <f t="shared" si="61"/>
        <v>5.75675</v>
      </c>
      <c r="BK80" s="171">
        <f t="shared" si="62"/>
        <v>0.11045119739880892</v>
      </c>
      <c r="BL80" s="171">
        <f t="shared" si="63"/>
        <v>5.867201197398809</v>
      </c>
      <c r="BM80" s="81">
        <f t="shared" si="64"/>
        <v>5.867201197398809</v>
      </c>
      <c r="BN80" s="63">
        <f t="shared" si="96"/>
        <v>7.415</v>
      </c>
      <c r="BO80" s="63">
        <f t="shared" si="65"/>
        <v>5.867201197398809</v>
      </c>
      <c r="BP80" s="63">
        <f t="shared" si="66"/>
        <v>1.547798802601191</v>
      </c>
      <c r="BQ80" s="63">
        <f t="shared" si="67"/>
        <v>0</v>
      </c>
      <c r="BR80" s="67">
        <f t="shared" si="68"/>
        <v>40.70433459122677</v>
      </c>
      <c r="BS80" s="69">
        <f ca="1" t="shared" si="97"/>
        <v>1.25</v>
      </c>
      <c r="BT80" s="66">
        <f ca="1" t="shared" si="69"/>
        <v>9.26875</v>
      </c>
      <c r="BU80" s="66">
        <f ca="1" t="shared" si="70"/>
        <v>5.867201197398809</v>
      </c>
      <c r="BV80" s="66">
        <f ca="1" t="shared" si="71"/>
        <v>3.4015488026011917</v>
      </c>
      <c r="BW80" s="63">
        <f ca="1" t="shared" si="72"/>
        <v>0</v>
      </c>
      <c r="BX80" s="67">
        <f ca="1" t="shared" si="98"/>
        <v>45.356507994961866</v>
      </c>
      <c r="BY80" s="65">
        <f ca="1" t="shared" si="73"/>
        <v>0.11429184263677428</v>
      </c>
      <c r="BZ80" s="68">
        <f ca="1" t="shared" si="99"/>
        <v>-0.04143888561598441</v>
      </c>
      <c r="CA80" s="81">
        <f t="shared" si="74"/>
        <v>7.415</v>
      </c>
      <c r="CB80" s="63">
        <f t="shared" si="75"/>
        <v>7.415</v>
      </c>
      <c r="CC80" s="67">
        <f t="shared" si="76"/>
        <v>35.90132553133049</v>
      </c>
      <c r="CD80" s="69">
        <f ca="1" t="shared" si="100"/>
        <v>1.25</v>
      </c>
      <c r="CE80" s="190">
        <f ca="1" t="shared" si="77"/>
        <v>9.26875</v>
      </c>
      <c r="CF80" s="70">
        <f ca="1" t="shared" si="78"/>
        <v>9.26875</v>
      </c>
      <c r="CG80" s="67">
        <f ca="1" t="shared" si="79"/>
        <v>39.30481757441425</v>
      </c>
      <c r="CH80" s="65">
        <f ca="1" t="shared" si="80"/>
        <v>0.09480129194989151</v>
      </c>
      <c r="CI80" s="65">
        <f ca="1" t="shared" si="101"/>
        <v>-0.16933486724824653</v>
      </c>
      <c r="CJ80" s="68">
        <f ca="1" t="shared" si="81"/>
        <v>-0.13342496343016153</v>
      </c>
      <c r="CL80" s="97">
        <f ca="1" t="shared" si="102"/>
        <v>3841891.34527586</v>
      </c>
      <c r="CM80" s="97">
        <f ca="1" t="shared" si="103"/>
        <v>3551979.488732975</v>
      </c>
      <c r="CN80" s="97">
        <f ca="1" t="shared" si="104"/>
        <v>3682687.649269933</v>
      </c>
      <c r="CO80" s="97">
        <f ca="1" t="shared" si="82"/>
        <v>3191325.1843413846</v>
      </c>
      <c r="CQ80" s="97">
        <f t="shared" si="105"/>
        <v>2773234.6829899475</v>
      </c>
      <c r="CR80" s="97">
        <f t="shared" si="106"/>
        <v>2479691.0461167917</v>
      </c>
      <c r="CS80" s="97">
        <f t="shared" si="107"/>
        <v>2643966.335106971</v>
      </c>
      <c r="CT80" s="97">
        <f t="shared" si="83"/>
        <v>2331984.9604177848</v>
      </c>
      <c r="CV80" s="97">
        <f ca="1" t="shared" si="108"/>
        <v>3841891.34527586</v>
      </c>
      <c r="CW80" s="97">
        <f ca="1" t="shared" si="84"/>
        <v>3551979.488732975</v>
      </c>
      <c r="CX80" s="97">
        <f ca="1" t="shared" si="85"/>
        <v>3551979.488732975</v>
      </c>
      <c r="CY80" s="97">
        <f ca="1" t="shared" si="86"/>
        <v>3191325.1843413846</v>
      </c>
    </row>
    <row r="81" spans="2:103" ht="12.75">
      <c r="B81" s="14">
        <v>10191</v>
      </c>
      <c r="C81" s="15" t="s">
        <v>80</v>
      </c>
      <c r="D81" s="16">
        <f>RHWM!D68</f>
        <v>1</v>
      </c>
      <c r="E81" s="16">
        <f>RHWM!E68</f>
        <v>0</v>
      </c>
      <c r="F81" s="18">
        <f>RHWM!M68</f>
        <v>120.467</v>
      </c>
      <c r="G81" s="18">
        <f>RHWM!N68</f>
        <v>120.365</v>
      </c>
      <c r="H81" s="18">
        <f>RHWM!O68</f>
        <v>131.217</v>
      </c>
      <c r="I81" s="18">
        <v>0</v>
      </c>
      <c r="J81" s="18">
        <v>0</v>
      </c>
      <c r="K81" s="18">
        <v>0</v>
      </c>
      <c r="L81" s="18">
        <v>0</v>
      </c>
      <c r="M81" s="18">
        <v>0</v>
      </c>
      <c r="N81" s="18">
        <v>0</v>
      </c>
      <c r="O81" s="81">
        <f t="shared" si="28"/>
        <v>131.217</v>
      </c>
      <c r="P81" s="63">
        <f t="shared" si="29"/>
        <v>120.365</v>
      </c>
      <c r="Q81" s="63">
        <f t="shared" si="30"/>
        <v>120.365</v>
      </c>
      <c r="R81" s="63">
        <f t="shared" si="31"/>
        <v>0</v>
      </c>
      <c r="S81" s="63">
        <f t="shared" si="32"/>
        <v>10.852000000000018</v>
      </c>
      <c r="T81" s="67">
        <f aca="true" t="shared" si="109" ref="T81:T112">(Q81*$T$14+R81*$T$5)/(Q81+R81)</f>
        <v>33.949064274110405</v>
      </c>
      <c r="U81" s="138">
        <f aca="true" t="shared" si="110" ref="U81:U112">RANDBETWEEN($Z$2,$Z$3)/100</f>
        <v>1.2</v>
      </c>
      <c r="V81" s="66">
        <f aca="true" t="shared" si="111" ref="V81:V112">G81*U81</f>
        <v>144.438</v>
      </c>
      <c r="W81" s="66">
        <f ca="1" t="shared" si="33"/>
        <v>131.217</v>
      </c>
      <c r="X81" s="66">
        <f ca="1" t="shared" si="34"/>
        <v>13.220999999999975</v>
      </c>
      <c r="Y81" s="63">
        <f ca="1" t="shared" si="35"/>
        <v>0</v>
      </c>
      <c r="Z81" s="67">
        <f ca="1" t="shared" si="90"/>
        <v>37.49128262796996</v>
      </c>
      <c r="AA81" s="68">
        <f aca="true" t="shared" si="112" ref="AA81:AA112">Z81/T81-1</f>
        <v>0.10433920432266097</v>
      </c>
      <c r="AB81" s="169">
        <f t="shared" si="36"/>
        <v>120.365</v>
      </c>
      <c r="AC81" s="169">
        <f t="shared" si="37"/>
        <v>120.365</v>
      </c>
      <c r="AD81" s="169">
        <v>0.2435</v>
      </c>
      <c r="AE81" s="171">
        <f t="shared" si="38"/>
        <v>0.12175</v>
      </c>
      <c r="AF81" s="182">
        <v>0</v>
      </c>
      <c r="AG81" s="182">
        <f t="shared" si="39"/>
        <v>0</v>
      </c>
      <c r="AH81" s="182">
        <f t="shared" si="40"/>
        <v>0</v>
      </c>
      <c r="AI81" s="182">
        <v>0</v>
      </c>
      <c r="AJ81" s="171">
        <f t="shared" si="41"/>
        <v>0</v>
      </c>
      <c r="AK81" s="171">
        <f t="shared" si="42"/>
        <v>120.48675</v>
      </c>
      <c r="AL81" s="171">
        <f t="shared" si="43"/>
        <v>7.689225499845559</v>
      </c>
      <c r="AM81" s="171">
        <f t="shared" si="44"/>
        <v>128.17597549984555</v>
      </c>
      <c r="AN81" s="81">
        <f t="shared" si="45"/>
        <v>128.17597549984555</v>
      </c>
      <c r="AO81" s="63">
        <f t="shared" si="46"/>
        <v>120.365</v>
      </c>
      <c r="AP81" s="63">
        <f t="shared" si="47"/>
        <v>120.365</v>
      </c>
      <c r="AQ81" s="63">
        <f t="shared" si="48"/>
        <v>0</v>
      </c>
      <c r="AR81" s="63">
        <f t="shared" si="49"/>
        <v>7.810975499845554</v>
      </c>
      <c r="AS81" s="67">
        <f aca="true" t="shared" si="113" ref="AS81:AS112">(AP81*$AS$14+AQ81*$T$5)/(AP81+AQ81)</f>
        <v>35.5763854636149</v>
      </c>
      <c r="AT81" s="65">
        <f aca="true" t="shared" si="114" ref="AT81:AT112">U81</f>
        <v>1.2</v>
      </c>
      <c r="AU81" s="66">
        <f ca="1" t="shared" si="50"/>
        <v>144.438</v>
      </c>
      <c r="AV81" s="66">
        <f ca="1" t="shared" si="51"/>
        <v>128.17597549984555</v>
      </c>
      <c r="AW81" s="66">
        <f ca="1" t="shared" si="52"/>
        <v>16.26202450015444</v>
      </c>
      <c r="AX81" s="63">
        <f ca="1" t="shared" si="53"/>
        <v>0</v>
      </c>
      <c r="AY81" s="67">
        <f aca="true" t="shared" si="115" ref="AY81:AY112">(AV81*$AY$14+AW81*$T$5)/(AV81+AW81)</f>
        <v>39.39088818295115</v>
      </c>
      <c r="AZ81" s="65">
        <f ca="1" t="shared" si="54"/>
        <v>0.10722007504774389</v>
      </c>
      <c r="BA81" s="68">
        <f aca="true" t="shared" si="116" ref="BA81:BA112">AY81/Z81-1</f>
        <v>0.05066792656392116</v>
      </c>
      <c r="BB81" s="169">
        <f t="shared" si="55"/>
        <v>120.365</v>
      </c>
      <c r="BC81" s="169">
        <f t="shared" si="56"/>
        <v>120.365</v>
      </c>
      <c r="BD81" s="169">
        <v>0.2435</v>
      </c>
      <c r="BE81" s="171">
        <f t="shared" si="57"/>
        <v>0.12175</v>
      </c>
      <c r="BF81" s="182">
        <v>0</v>
      </c>
      <c r="BG81" s="182">
        <f t="shared" si="58"/>
        <v>0</v>
      </c>
      <c r="BH81" s="182">
        <f t="shared" si="59"/>
        <v>0</v>
      </c>
      <c r="BI81" s="169">
        <f t="shared" si="60"/>
        <v>0</v>
      </c>
      <c r="BJ81" s="171">
        <f t="shared" si="61"/>
        <v>120.48675</v>
      </c>
      <c r="BK81" s="171">
        <f t="shared" si="62"/>
        <v>2.3117046611700944</v>
      </c>
      <c r="BL81" s="171">
        <f t="shared" si="63"/>
        <v>122.7984546611701</v>
      </c>
      <c r="BM81" s="81">
        <f t="shared" si="64"/>
        <v>122.7984546611701</v>
      </c>
      <c r="BN81" s="63">
        <f aca="true" t="shared" si="117" ref="BN81:BN112">P81</f>
        <v>120.365</v>
      </c>
      <c r="BO81" s="63">
        <f t="shared" si="65"/>
        <v>120.365</v>
      </c>
      <c r="BP81" s="63">
        <f t="shared" si="66"/>
        <v>0</v>
      </c>
      <c r="BQ81" s="63">
        <f t="shared" si="67"/>
        <v>2.433454661170103</v>
      </c>
      <c r="BR81" s="67">
        <f t="shared" si="68"/>
        <v>34.790963136607154</v>
      </c>
      <c r="BS81" s="69">
        <f aca="true" t="shared" si="118" ref="BS81:BS112">U81</f>
        <v>1.2</v>
      </c>
      <c r="BT81" s="66">
        <f ca="1" t="shared" si="69"/>
        <v>144.438</v>
      </c>
      <c r="BU81" s="66">
        <f ca="1" t="shared" si="70"/>
        <v>122.7984546611701</v>
      </c>
      <c r="BV81" s="66">
        <f ca="1" t="shared" si="71"/>
        <v>21.63954533882989</v>
      </c>
      <c r="BW81" s="63">
        <f ca="1" t="shared" si="72"/>
        <v>0</v>
      </c>
      <c r="BX81" s="67">
        <f aca="true" t="shared" si="119" ref="BX81:BX112">(BU81*$BX$14+BV81*$T$5)/(BU81+BV81)</f>
        <v>39.262223417776106</v>
      </c>
      <c r="BY81" s="65">
        <f ca="1" t="shared" si="73"/>
        <v>0.12851786435496182</v>
      </c>
      <c r="BZ81" s="68">
        <f aca="true" t="shared" si="120" ref="BZ81:BZ112">BX81/Z81-1</f>
        <v>0.04723606837833172</v>
      </c>
      <c r="CA81" s="81">
        <f t="shared" si="74"/>
        <v>120.365</v>
      </c>
      <c r="CB81" s="63">
        <f t="shared" si="75"/>
        <v>120.365</v>
      </c>
      <c r="CC81" s="67">
        <f t="shared" si="76"/>
        <v>35.90132553133049</v>
      </c>
      <c r="CD81" s="69">
        <f aca="true" t="shared" si="121" ref="CD81:CD112">U81</f>
        <v>1.2</v>
      </c>
      <c r="CE81" s="190">
        <f ca="1" t="shared" si="77"/>
        <v>144.438</v>
      </c>
      <c r="CF81" s="70">
        <f ca="1" t="shared" si="78"/>
        <v>144.438</v>
      </c>
      <c r="CG81" s="67">
        <f ca="1" t="shared" si="79"/>
        <v>39.30481757441425</v>
      </c>
      <c r="CH81" s="65">
        <f ca="1" t="shared" si="80"/>
        <v>0.09480129194989151</v>
      </c>
      <c r="CI81" s="65">
        <f aca="true" t="shared" si="122" ref="CI81:CI112">CG81/Z81-1</f>
        <v>0.0483721766587768</v>
      </c>
      <c r="CJ81" s="68">
        <f ca="1" t="shared" si="81"/>
        <v>0.0010848635897391379</v>
      </c>
      <c r="CL81" s="97">
        <f aca="true" t="shared" si="123" ref="CL81:CL112">W81*$Z$14*8760+X81*$T$5*8760</f>
        <v>47436853.110716015</v>
      </c>
      <c r="CM81" s="97">
        <f aca="true" t="shared" si="124" ref="CM81:CM112">AV81*$AY$14*8760+AW81*$T$5*8760</f>
        <v>49840380.100553304</v>
      </c>
      <c r="CN81" s="97">
        <f aca="true" t="shared" si="125" ref="CN81:CN112">BU81*$BX$14*8760+BV81*$T$5*8760</f>
        <v>49677583.54790668</v>
      </c>
      <c r="CO81" s="97">
        <f ca="1" t="shared" si="82"/>
        <v>49731476.94952403</v>
      </c>
      <c r="CQ81" s="97">
        <f aca="true" t="shared" si="126" ref="CQ81:CQ112">Q81*8760*$T$14+R81*8760*$T$5</f>
        <v>35795805.103054896</v>
      </c>
      <c r="CR81" s="97">
        <f aca="true" t="shared" si="127" ref="CR81:CR112">AP81*8760*$AS$14+AQ81*8760*$T$5</f>
        <v>37511648.334233336</v>
      </c>
      <c r="CS81" s="97">
        <f aca="true" t="shared" si="128" ref="CS81:CS112">BO81*8760*$BR$14+BP81*8760*$T$5</f>
        <v>36683501.07473443</v>
      </c>
      <c r="CT81" s="97">
        <f t="shared" si="83"/>
        <v>37854264.296788484</v>
      </c>
      <c r="CV81" s="97">
        <f aca="true" t="shared" si="129" ref="CV81:CV112">Z81*8760*V81</f>
        <v>47436853.11071603</v>
      </c>
      <c r="CW81" s="97">
        <f ca="1" t="shared" si="84"/>
        <v>49840380.1005533</v>
      </c>
      <c r="CX81" s="97">
        <f ca="1" t="shared" si="85"/>
        <v>49840380.1005533</v>
      </c>
      <c r="CY81" s="97">
        <f ca="1" t="shared" si="86"/>
        <v>49731476.94952402</v>
      </c>
    </row>
    <row r="82" spans="2:103" ht="12.75">
      <c r="B82" s="14">
        <v>10197</v>
      </c>
      <c r="C82" s="15" t="s">
        <v>81</v>
      </c>
      <c r="D82" s="16">
        <f>RHWM!D69</f>
        <v>1</v>
      </c>
      <c r="E82" s="16">
        <f>RHWM!E69</f>
        <v>0</v>
      </c>
      <c r="F82" s="18">
        <f>RHWM!M69</f>
        <v>28.232</v>
      </c>
      <c r="G82" s="18">
        <f>RHWM!N69</f>
        <v>28.477</v>
      </c>
      <c r="H82" s="18">
        <f>RHWM!O69</f>
        <v>22.753</v>
      </c>
      <c r="I82" s="18">
        <v>5.479</v>
      </c>
      <c r="J82" s="18">
        <v>5.724</v>
      </c>
      <c r="K82" s="18">
        <v>0</v>
      </c>
      <c r="L82" s="18">
        <v>0</v>
      </c>
      <c r="M82" s="18">
        <v>5.479</v>
      </c>
      <c r="N82" s="18">
        <v>5.724</v>
      </c>
      <c r="O82" s="81">
        <f aca="true" t="shared" si="130" ref="O82:O145">H82</f>
        <v>22.753</v>
      </c>
      <c r="P82" s="63">
        <f aca="true" t="shared" si="131" ref="P82:P145">G82</f>
        <v>28.477</v>
      </c>
      <c r="Q82" s="63">
        <f aca="true" t="shared" si="132" ref="Q82:Q145">MIN(P82,O82)</f>
        <v>22.753</v>
      </c>
      <c r="R82" s="63">
        <f aca="true" t="shared" si="133" ref="R82:R145">MAX(0,P82-O82)</f>
        <v>5.724</v>
      </c>
      <c r="S82" s="63">
        <f aca="true" t="shared" si="134" ref="S82:S145">MAX(0,O82-P82)</f>
        <v>0</v>
      </c>
      <c r="T82" s="67">
        <f t="shared" si="109"/>
        <v>39.812548352313584</v>
      </c>
      <c r="U82" s="138">
        <f ca="1" t="shared" si="110"/>
        <v>1.37</v>
      </c>
      <c r="V82" s="66">
        <f ca="1" t="shared" si="111"/>
        <v>39.013490000000004</v>
      </c>
      <c r="W82" s="66">
        <f aca="true" t="shared" si="135" ref="W82:W145">MIN(V82,O82)</f>
        <v>22.753</v>
      </c>
      <c r="X82" s="66">
        <f aca="true" t="shared" si="136" ref="X82:X145">MAX(0,V82-O82)</f>
        <v>16.260490000000004</v>
      </c>
      <c r="Y82" s="63">
        <f aca="true" t="shared" si="137" ref="Y82:Y145">MAX(0,O82-V82)</f>
        <v>0</v>
      </c>
      <c r="Z82" s="67">
        <f ca="1" t="shared" si="90"/>
        <v>46.667113636623654</v>
      </c>
      <c r="AA82" s="68">
        <f ca="1" t="shared" si="112"/>
        <v>0.17217097543347126</v>
      </c>
      <c r="AB82" s="169">
        <f aca="true" t="shared" si="138" ref="AB82:AB145">MIN(O82,Q82)</f>
        <v>22.753</v>
      </c>
      <c r="AC82" s="169">
        <f aca="true" t="shared" si="139" ref="AC82:AC145">IF(AB82&lt;5,MIN($AC$15,AB82*$AC$14),AB82)</f>
        <v>22.753</v>
      </c>
      <c r="AD82" s="169">
        <v>0</v>
      </c>
      <c r="AE82" s="171">
        <f aca="true" t="shared" si="140" ref="AE82:AE145">AD82*$AE$15</f>
        <v>0</v>
      </c>
      <c r="AF82" s="182">
        <v>0</v>
      </c>
      <c r="AG82" s="182">
        <f aca="true" t="shared" si="141" ref="AG82:AG145">IF($AE$12="No",0,AF82)</f>
        <v>0</v>
      </c>
      <c r="AH82" s="182">
        <f aca="true" t="shared" si="142" ref="AH82:AH145">AG82*$AH$15</f>
        <v>0</v>
      </c>
      <c r="AI82" s="182">
        <v>0</v>
      </c>
      <c r="AJ82" s="171">
        <f aca="true" t="shared" si="143" ref="AJ82:AJ145">R82*$AJ$15</f>
        <v>2.862</v>
      </c>
      <c r="AK82" s="171">
        <f aca="true" t="shared" si="144" ref="AK82:AK145">AC82+AE82+AJ82</f>
        <v>25.615000000000002</v>
      </c>
      <c r="AL82" s="171">
        <f aca="true" t="shared" si="145" ref="AL82:AL145">AK82/$AK$15*$AL$15</f>
        <v>1.6346985139738934</v>
      </c>
      <c r="AM82" s="171">
        <f aca="true" t="shared" si="146" ref="AM82:AM145">AK82+AL82</f>
        <v>27.249698513973897</v>
      </c>
      <c r="AN82" s="81">
        <f aca="true" t="shared" si="147" ref="AN82:AN145">AM82</f>
        <v>27.249698513973897</v>
      </c>
      <c r="AO82" s="63">
        <f aca="true" t="shared" si="148" ref="AO82:AO145">P82</f>
        <v>28.477</v>
      </c>
      <c r="AP82" s="63">
        <f aca="true" t="shared" si="149" ref="AP82:AP145">MIN(AO82,AN82)</f>
        <v>27.249698513973897</v>
      </c>
      <c r="AQ82" s="63">
        <f aca="true" t="shared" si="150" ref="AQ82:AQ145">MAX(0,AO82-AN82)</f>
        <v>1.2273014860261036</v>
      </c>
      <c r="AR82" s="63">
        <f aca="true" t="shared" si="151" ref="AR82:AR145">MAX(0,AN82-AO82)</f>
        <v>0</v>
      </c>
      <c r="AS82" s="67">
        <f t="shared" si="113"/>
        <v>36.76345991145124</v>
      </c>
      <c r="AT82" s="65">
        <f ca="1" t="shared" si="114"/>
        <v>1.37</v>
      </c>
      <c r="AU82" s="66">
        <f aca="true" t="shared" si="152" ref="AU82:AU145">AT82*AO82</f>
        <v>39.013490000000004</v>
      </c>
      <c r="AV82" s="66">
        <f aca="true" t="shared" si="153" ref="AV82:AV145">MIN(AU82,AN82)</f>
        <v>27.249698513973897</v>
      </c>
      <c r="AW82" s="66">
        <f aca="true" t="shared" si="154" ref="AW82:AW145">MAX(0,AU82-AN82)</f>
        <v>11.763791486026108</v>
      </c>
      <c r="AX82" s="63">
        <f aca="true" t="shared" si="155" ref="AX82:AX145">MAX(0,AN82-AU82)</f>
        <v>0</v>
      </c>
      <c r="AY82" s="67">
        <f ca="1" t="shared" si="115"/>
        <v>44.44316779884589</v>
      </c>
      <c r="AZ82" s="65">
        <f aca="true" t="shared" si="156" ref="AZ82:AZ145">AY82/AS82-1</f>
        <v>0.2088951340785674</v>
      </c>
      <c r="BA82" s="68">
        <f ca="1" t="shared" si="116"/>
        <v>-0.047655525796916676</v>
      </c>
      <c r="BB82" s="169">
        <f aca="true" t="shared" si="157" ref="BB82:BB145">MIN(O82,Q82)</f>
        <v>22.753</v>
      </c>
      <c r="BC82" s="169">
        <f aca="true" t="shared" si="158" ref="BC82:BC145">IF(BB82&lt;$BC$15,MIN($BC$15,BB82*$BC$14),BB82)</f>
        <v>22.753</v>
      </c>
      <c r="BD82" s="169">
        <v>0</v>
      </c>
      <c r="BE82" s="171">
        <f aca="true" t="shared" si="159" ref="BE82:BE145">BD82*$BE$15</f>
        <v>0</v>
      </c>
      <c r="BF82" s="182">
        <v>0</v>
      </c>
      <c r="BG82" s="182">
        <f aca="true" t="shared" si="160" ref="BG82:BG145">IF($AE$12="No",0,BF82)</f>
        <v>0</v>
      </c>
      <c r="BH82" s="182">
        <f aca="true" t="shared" si="161" ref="BH82:BH145">BG82*$BH$15</f>
        <v>0</v>
      </c>
      <c r="BI82" s="169">
        <f aca="true" t="shared" si="162" ref="BI82:BI145">$BI$15*R82</f>
        <v>1.431</v>
      </c>
      <c r="BJ82" s="171">
        <f aca="true" t="shared" si="163" ref="BJ82:BJ145">BC82+BE82+BI82</f>
        <v>24.184</v>
      </c>
      <c r="BK82" s="171">
        <f aca="true" t="shared" si="164" ref="BK82:BK145">BJ82/$BJ$15*$BK$15</f>
        <v>0.4640034321262509</v>
      </c>
      <c r="BL82" s="171">
        <f aca="true" t="shared" si="165" ref="BL82:BL145">BJ82+BK82</f>
        <v>24.648003432126252</v>
      </c>
      <c r="BM82" s="81">
        <f aca="true" t="shared" si="166" ref="BM82:BM145">BL82</f>
        <v>24.648003432126252</v>
      </c>
      <c r="BN82" s="63">
        <f t="shared" si="117"/>
        <v>28.477</v>
      </c>
      <c r="BO82" s="63">
        <f aca="true" t="shared" si="167" ref="BO82:BO145">MIN(BN82,BM82)</f>
        <v>24.648003432126252</v>
      </c>
      <c r="BP82" s="63">
        <f aca="true" t="shared" si="168" ref="BP82:BP145">MAX(0,BN82-BM82)</f>
        <v>3.828996567873748</v>
      </c>
      <c r="BQ82" s="63">
        <f aca="true" t="shared" si="169" ref="BQ82:BQ145">MAX(0,BM82-BN82)</f>
        <v>0</v>
      </c>
      <c r="BR82" s="67">
        <f aca="true" t="shared" si="170" ref="BR82:BR145">(BO82*$BR$14+BP82*$T$5)/(BO82+BP82)</f>
        <v>38.6000646894779</v>
      </c>
      <c r="BS82" s="69">
        <f ca="1" t="shared" si="118"/>
        <v>1.37</v>
      </c>
      <c r="BT82" s="66">
        <f aca="true" t="shared" si="171" ref="BT82:BT145">BN82*BS82</f>
        <v>39.013490000000004</v>
      </c>
      <c r="BU82" s="66">
        <f aca="true" t="shared" si="172" ref="BU82:BU145">MIN(BT82,BM82)</f>
        <v>24.648003432126252</v>
      </c>
      <c r="BV82" s="66">
        <f aca="true" t="shared" si="173" ref="BV82:BV145">MAX(0,BT82-BM82)</f>
        <v>14.365486567873752</v>
      </c>
      <c r="BW82" s="63">
        <f aca="true" t="shared" si="174" ref="BW82:BW145">MAX(0,BM82-BT82)</f>
        <v>0</v>
      </c>
      <c r="BX82" s="67">
        <f ca="1" t="shared" si="119"/>
        <v>45.390949569887404</v>
      </c>
      <c r="BY82" s="65">
        <f aca="true" t="shared" si="175" ref="BY82:BY145">BX82/BR82-1</f>
        <v>0.17592936527540726</v>
      </c>
      <c r="BZ82" s="68">
        <f ca="1" t="shared" si="120"/>
        <v>-0.027346110939561852</v>
      </c>
      <c r="CA82" s="81">
        <f aca="true" t="shared" si="176" ref="CA82:CA145">P82</f>
        <v>28.477</v>
      </c>
      <c r="CB82" s="63">
        <f aca="true" t="shared" si="177" ref="CB82:CB145">CA82</f>
        <v>28.477</v>
      </c>
      <c r="CC82" s="67">
        <f aca="true" t="shared" si="178" ref="CC82:CC145">$CC$14</f>
        <v>35.90132553133049</v>
      </c>
      <c r="CD82" s="69">
        <f ca="1" t="shared" si="121"/>
        <v>1.37</v>
      </c>
      <c r="CE82" s="190">
        <f aca="true" t="shared" si="179" ref="CE82:CE145">CA82*CD82</f>
        <v>39.013490000000004</v>
      </c>
      <c r="CF82" s="70">
        <f aca="true" t="shared" si="180" ref="CF82:CF145">CE82</f>
        <v>39.013490000000004</v>
      </c>
      <c r="CG82" s="67">
        <f aca="true" t="shared" si="181" ref="CG82:CG145">$CG$14</f>
        <v>39.30481757441425</v>
      </c>
      <c r="CH82" s="65">
        <f aca="true" t="shared" si="182" ref="CH82:CH145">CG82/CC82-1</f>
        <v>0.09480129194989151</v>
      </c>
      <c r="CI82" s="65">
        <f ca="1" t="shared" si="122"/>
        <v>-0.15776197601455222</v>
      </c>
      <c r="CJ82" s="68">
        <f aca="true" t="shared" si="183" ref="CJ82:CJ145">CG82/BX82-1</f>
        <v>-0.13408249999490485</v>
      </c>
      <c r="CL82" s="97">
        <f ca="1" t="shared" si="123"/>
        <v>15948867.46763562</v>
      </c>
      <c r="CM82" s="97">
        <f ca="1" t="shared" si="124"/>
        <v>15188815.802600102</v>
      </c>
      <c r="CN82" s="97">
        <f ca="1" t="shared" si="125"/>
        <v>15512727.968505286</v>
      </c>
      <c r="CO82" s="97">
        <f aca="true" t="shared" si="184" ref="CO82:CO145">CG82*CF82*8760</f>
        <v>13432742.620747216</v>
      </c>
      <c r="CQ82" s="97">
        <f t="shared" si="126"/>
        <v>9931579.389396586</v>
      </c>
      <c r="CR82" s="97">
        <f t="shared" si="127"/>
        <v>9170958.299589958</v>
      </c>
      <c r="CS82" s="97">
        <f t="shared" si="128"/>
        <v>9629115.009341415</v>
      </c>
      <c r="CT82" s="97">
        <f aca="true" t="shared" si="185" ref="CT82:CT145">CB82*8760*$CC$14</f>
        <v>8955891.533083918</v>
      </c>
      <c r="CV82" s="97">
        <f ca="1" t="shared" si="129"/>
        <v>15948867.467635619</v>
      </c>
      <c r="CW82" s="97">
        <f aca="true" t="shared" si="186" ref="CW82:CW145">AY82*8760*AU82</f>
        <v>15188815.802600104</v>
      </c>
      <c r="CX82" s="97">
        <f aca="true" t="shared" si="187" ref="CX82:CX145">AY82*8760*AU82</f>
        <v>15188815.802600104</v>
      </c>
      <c r="CY82" s="97">
        <f aca="true" t="shared" si="188" ref="CY82:CY145">CG82*8760*CE82</f>
        <v>13432742.620747216</v>
      </c>
    </row>
    <row r="83" spans="2:103" ht="12.75">
      <c r="B83" s="14">
        <v>10202</v>
      </c>
      <c r="C83" s="15" t="s">
        <v>82</v>
      </c>
      <c r="D83" s="16">
        <f>RHWM!D70</f>
        <v>1</v>
      </c>
      <c r="E83" s="16">
        <f>RHWM!E70</f>
        <v>0</v>
      </c>
      <c r="F83" s="18">
        <f>RHWM!M70</f>
        <v>15.488</v>
      </c>
      <c r="G83" s="18">
        <f>RHWM!N70</f>
        <v>15.607</v>
      </c>
      <c r="H83" s="18">
        <f>RHWM!O70</f>
        <v>13.099</v>
      </c>
      <c r="I83" s="18">
        <v>2.389</v>
      </c>
      <c r="J83" s="18">
        <v>2.508</v>
      </c>
      <c r="K83" s="18">
        <v>0</v>
      </c>
      <c r="L83" s="18">
        <v>0</v>
      </c>
      <c r="M83" s="18">
        <v>2.389</v>
      </c>
      <c r="N83" s="18">
        <v>2.508</v>
      </c>
      <c r="O83" s="81">
        <f t="shared" si="130"/>
        <v>13.099</v>
      </c>
      <c r="P83" s="63">
        <f t="shared" si="131"/>
        <v>15.607</v>
      </c>
      <c r="Q83" s="63">
        <f t="shared" si="132"/>
        <v>13.099</v>
      </c>
      <c r="R83" s="63">
        <f t="shared" si="133"/>
        <v>2.507999999999999</v>
      </c>
      <c r="S83" s="63">
        <f t="shared" si="134"/>
        <v>0</v>
      </c>
      <c r="T83" s="67">
        <f t="shared" si="109"/>
        <v>38.63674972298149</v>
      </c>
      <c r="U83" s="138">
        <f ca="1" t="shared" si="110"/>
        <v>1.31</v>
      </c>
      <c r="V83" s="66">
        <f ca="1" t="shared" si="111"/>
        <v>20.44517</v>
      </c>
      <c r="W83" s="66">
        <f ca="1" t="shared" si="135"/>
        <v>13.099</v>
      </c>
      <c r="X83" s="66">
        <f ca="1" t="shared" si="136"/>
        <v>7.346170000000001</v>
      </c>
      <c r="Y83" s="63">
        <f ca="1" t="shared" si="137"/>
        <v>0</v>
      </c>
      <c r="Z83" s="67">
        <f ca="1" t="shared" si="90"/>
        <v>45.045526731121946</v>
      </c>
      <c r="AA83" s="68">
        <f ca="1" t="shared" si="112"/>
        <v>0.16587257090956742</v>
      </c>
      <c r="AB83" s="169">
        <f t="shared" si="138"/>
        <v>13.099</v>
      </c>
      <c r="AC83" s="169">
        <f t="shared" si="139"/>
        <v>13.099</v>
      </c>
      <c r="AD83" s="169">
        <v>0.5954999999999999</v>
      </c>
      <c r="AE83" s="171">
        <f t="shared" si="140"/>
        <v>0.29774999999999996</v>
      </c>
      <c r="AF83" s="182">
        <v>0</v>
      </c>
      <c r="AG83" s="182">
        <f t="shared" si="141"/>
        <v>0</v>
      </c>
      <c r="AH83" s="182">
        <f t="shared" si="142"/>
        <v>0</v>
      </c>
      <c r="AI83" s="182">
        <v>0</v>
      </c>
      <c r="AJ83" s="171">
        <f t="shared" si="143"/>
        <v>1.2539999999999996</v>
      </c>
      <c r="AK83" s="171">
        <f t="shared" si="144"/>
        <v>14.65075</v>
      </c>
      <c r="AL83" s="171">
        <f t="shared" si="145"/>
        <v>0.9349818174352145</v>
      </c>
      <c r="AM83" s="171">
        <f t="shared" si="146"/>
        <v>15.585731817435216</v>
      </c>
      <c r="AN83" s="81">
        <f t="shared" si="147"/>
        <v>15.585731817435216</v>
      </c>
      <c r="AO83" s="63">
        <f t="shared" si="148"/>
        <v>15.607</v>
      </c>
      <c r="AP83" s="63">
        <f t="shared" si="149"/>
        <v>15.585731817435216</v>
      </c>
      <c r="AQ83" s="63">
        <f t="shared" si="150"/>
        <v>0.0212681825647838</v>
      </c>
      <c r="AR83" s="63">
        <f t="shared" si="151"/>
        <v>0</v>
      </c>
      <c r="AS83" s="67">
        <f t="shared" si="113"/>
        <v>35.61392007132002</v>
      </c>
      <c r="AT83" s="65">
        <f ca="1" t="shared" si="114"/>
        <v>1.31</v>
      </c>
      <c r="AU83" s="66">
        <f ca="1" t="shared" si="152"/>
        <v>20.44517</v>
      </c>
      <c r="AV83" s="66">
        <f ca="1" t="shared" si="153"/>
        <v>15.585731817435216</v>
      </c>
      <c r="AW83" s="66">
        <f ca="1" t="shared" si="154"/>
        <v>4.859438182564785</v>
      </c>
      <c r="AX83" s="63">
        <f ca="1" t="shared" si="155"/>
        <v>0</v>
      </c>
      <c r="AY83" s="67">
        <f ca="1" t="shared" si="115"/>
        <v>42.73584135203558</v>
      </c>
      <c r="AZ83" s="65">
        <f ca="1" t="shared" si="156"/>
        <v>0.19997577538370637</v>
      </c>
      <c r="BA83" s="68">
        <f ca="1" t="shared" si="116"/>
        <v>-0.0512744671157459</v>
      </c>
      <c r="BB83" s="169">
        <f t="shared" si="157"/>
        <v>13.099</v>
      </c>
      <c r="BC83" s="169">
        <f t="shared" si="158"/>
        <v>13.099</v>
      </c>
      <c r="BD83" s="169">
        <v>0.5954999999999999</v>
      </c>
      <c r="BE83" s="171">
        <f t="shared" si="159"/>
        <v>0.29774999999999996</v>
      </c>
      <c r="BF83" s="182">
        <v>0</v>
      </c>
      <c r="BG83" s="182">
        <f t="shared" si="160"/>
        <v>0</v>
      </c>
      <c r="BH83" s="182">
        <f t="shared" si="161"/>
        <v>0</v>
      </c>
      <c r="BI83" s="169">
        <f t="shared" si="162"/>
        <v>0.6269999999999998</v>
      </c>
      <c r="BJ83" s="171">
        <f t="shared" si="163"/>
        <v>14.02375</v>
      </c>
      <c r="BK83" s="171">
        <f t="shared" si="164"/>
        <v>0.2690650070823896</v>
      </c>
      <c r="BL83" s="171">
        <f t="shared" si="165"/>
        <v>14.292815007082389</v>
      </c>
      <c r="BM83" s="81">
        <f t="shared" si="166"/>
        <v>14.292815007082389</v>
      </c>
      <c r="BN83" s="63">
        <f t="shared" si="117"/>
        <v>15.607</v>
      </c>
      <c r="BO83" s="63">
        <f t="shared" si="167"/>
        <v>14.292815007082389</v>
      </c>
      <c r="BP83" s="63">
        <f t="shared" si="168"/>
        <v>1.3141849929176104</v>
      </c>
      <c r="BQ83" s="63">
        <f t="shared" si="169"/>
        <v>0</v>
      </c>
      <c r="BR83" s="67">
        <f t="shared" si="170"/>
        <v>37.17640525294473</v>
      </c>
      <c r="BS83" s="69">
        <f ca="1" t="shared" si="118"/>
        <v>1.31</v>
      </c>
      <c r="BT83" s="66">
        <f ca="1" t="shared" si="171"/>
        <v>20.44517</v>
      </c>
      <c r="BU83" s="66">
        <f ca="1" t="shared" si="172"/>
        <v>14.292815007082389</v>
      </c>
      <c r="BV83" s="66">
        <f ca="1" t="shared" si="173"/>
        <v>6.152354992917612</v>
      </c>
      <c r="BW83" s="63">
        <f ca="1" t="shared" si="174"/>
        <v>0</v>
      </c>
      <c r="BX83" s="67">
        <f ca="1" t="shared" si="119"/>
        <v>43.50241339297295</v>
      </c>
      <c r="BY83" s="65">
        <f ca="1" t="shared" si="175"/>
        <v>0.17016191041029005</v>
      </c>
      <c r="BZ83" s="68">
        <f ca="1" t="shared" si="120"/>
        <v>-0.03425674978472082</v>
      </c>
      <c r="CA83" s="81">
        <f t="shared" si="176"/>
        <v>15.607</v>
      </c>
      <c r="CB83" s="63">
        <f t="shared" si="177"/>
        <v>15.607</v>
      </c>
      <c r="CC83" s="67">
        <f t="shared" si="178"/>
        <v>35.90132553133049</v>
      </c>
      <c r="CD83" s="69">
        <f ca="1" t="shared" si="121"/>
        <v>1.31</v>
      </c>
      <c r="CE83" s="190">
        <f ca="1" t="shared" si="179"/>
        <v>20.44517</v>
      </c>
      <c r="CF83" s="70">
        <f ca="1" t="shared" si="180"/>
        <v>20.44517</v>
      </c>
      <c r="CG83" s="67">
        <f ca="1" t="shared" si="181"/>
        <v>39.30481757441425</v>
      </c>
      <c r="CH83" s="65">
        <f ca="1" t="shared" si="182"/>
        <v>0.09480129194989151</v>
      </c>
      <c r="CI83" s="65">
        <f ca="1" t="shared" si="122"/>
        <v>-0.12744238048262047</v>
      </c>
      <c r="CJ83" s="68">
        <f ca="1" t="shared" si="183"/>
        <v>-0.09649110224392154</v>
      </c>
      <c r="CL83" s="97">
        <f ca="1" t="shared" si="123"/>
        <v>8067639.837394232</v>
      </c>
      <c r="CM83" s="97">
        <f ca="1" t="shared" si="124"/>
        <v>7653975.9038500795</v>
      </c>
      <c r="CN83" s="97">
        <f ca="1" t="shared" si="125"/>
        <v>7791268.718131373</v>
      </c>
      <c r="CO83" s="97">
        <f ca="1" t="shared" si="184"/>
        <v>7039480.61164029</v>
      </c>
      <c r="CQ83" s="97">
        <f t="shared" si="126"/>
        <v>5282312.875636772</v>
      </c>
      <c r="CR83" s="97">
        <f t="shared" si="127"/>
        <v>4869039.706845081</v>
      </c>
      <c r="CS83" s="97">
        <f t="shared" si="128"/>
        <v>5082658.493416525</v>
      </c>
      <c r="CT83" s="97">
        <f t="shared" si="185"/>
        <v>4908333.011091081</v>
      </c>
      <c r="CV83" s="97">
        <f ca="1" t="shared" si="129"/>
        <v>8067639.837394232</v>
      </c>
      <c r="CW83" s="97">
        <f ca="1" t="shared" si="186"/>
        <v>7653975.90385008</v>
      </c>
      <c r="CX83" s="97">
        <f ca="1" t="shared" si="187"/>
        <v>7653975.90385008</v>
      </c>
      <c r="CY83" s="97">
        <f ca="1" t="shared" si="188"/>
        <v>7039480.61164029</v>
      </c>
    </row>
    <row r="84" spans="2:103" ht="12.75">
      <c r="B84" s="14">
        <v>10203</v>
      </c>
      <c r="C84" s="15" t="s">
        <v>83</v>
      </c>
      <c r="D84" s="16">
        <f>RHWM!D71</f>
        <v>1</v>
      </c>
      <c r="E84" s="16">
        <f>RHWM!E71</f>
        <v>0</v>
      </c>
      <c r="F84" s="18">
        <f>RHWM!M71</f>
        <v>6.729</v>
      </c>
      <c r="G84" s="18">
        <f>RHWM!N71</f>
        <v>6.775</v>
      </c>
      <c r="H84" s="18">
        <f>RHWM!O71</f>
        <v>6.213</v>
      </c>
      <c r="I84" s="18">
        <v>0.516</v>
      </c>
      <c r="J84" s="18">
        <v>0.562</v>
      </c>
      <c r="K84" s="18">
        <v>0.516</v>
      </c>
      <c r="L84" s="18">
        <v>0.562</v>
      </c>
      <c r="M84" s="18">
        <v>0</v>
      </c>
      <c r="N84" s="18">
        <v>0</v>
      </c>
      <c r="O84" s="81">
        <f t="shared" si="130"/>
        <v>6.213</v>
      </c>
      <c r="P84" s="63">
        <f t="shared" si="131"/>
        <v>6.775</v>
      </c>
      <c r="Q84" s="63">
        <f t="shared" si="132"/>
        <v>6.213</v>
      </c>
      <c r="R84" s="63">
        <f t="shared" si="133"/>
        <v>0.5620000000000003</v>
      </c>
      <c r="S84" s="63">
        <f t="shared" si="134"/>
        <v>0</v>
      </c>
      <c r="T84" s="67">
        <f t="shared" si="109"/>
        <v>36.368852595579035</v>
      </c>
      <c r="U84" s="138">
        <f ca="1" t="shared" si="110"/>
        <v>0.93</v>
      </c>
      <c r="V84" s="66">
        <f ca="1" t="shared" si="111"/>
        <v>6.300750000000001</v>
      </c>
      <c r="W84" s="66">
        <f ca="1" t="shared" si="135"/>
        <v>6.213</v>
      </c>
      <c r="X84" s="66">
        <f ca="1" t="shared" si="136"/>
        <v>0.08775000000000066</v>
      </c>
      <c r="Y84" s="63">
        <f ca="1" t="shared" si="137"/>
        <v>0</v>
      </c>
      <c r="Z84" s="67">
        <f ca="1" t="shared" si="90"/>
        <v>35.30190799108044</v>
      </c>
      <c r="AA84" s="68">
        <f ca="1" t="shared" si="112"/>
        <v>-0.029336768370534005</v>
      </c>
      <c r="AB84" s="169">
        <f t="shared" si="138"/>
        <v>6.213</v>
      </c>
      <c r="AC84" s="169">
        <f t="shared" si="139"/>
        <v>6.213</v>
      </c>
      <c r="AD84" s="169">
        <v>0</v>
      </c>
      <c r="AE84" s="171">
        <f t="shared" si="140"/>
        <v>0</v>
      </c>
      <c r="AF84" s="182">
        <v>0</v>
      </c>
      <c r="AG84" s="182">
        <f t="shared" si="141"/>
        <v>0</v>
      </c>
      <c r="AH84" s="182">
        <f t="shared" si="142"/>
        <v>0</v>
      </c>
      <c r="AI84" s="182">
        <v>0</v>
      </c>
      <c r="AJ84" s="171">
        <f t="shared" si="143"/>
        <v>0.28100000000000014</v>
      </c>
      <c r="AK84" s="171">
        <f t="shared" si="144"/>
        <v>6.494</v>
      </c>
      <c r="AL84" s="171">
        <f t="shared" si="145"/>
        <v>0.4144342045577381</v>
      </c>
      <c r="AM84" s="171">
        <f t="shared" si="146"/>
        <v>6.908434204557738</v>
      </c>
      <c r="AN84" s="81">
        <f t="shared" si="147"/>
        <v>6.908434204557738</v>
      </c>
      <c r="AO84" s="63">
        <f t="shared" si="148"/>
        <v>6.775</v>
      </c>
      <c r="AP84" s="63">
        <f t="shared" si="149"/>
        <v>6.775</v>
      </c>
      <c r="AQ84" s="63">
        <f t="shared" si="150"/>
        <v>0</v>
      </c>
      <c r="AR84" s="63">
        <f t="shared" si="151"/>
        <v>0.13343420455773725</v>
      </c>
      <c r="AS84" s="67">
        <f t="shared" si="113"/>
        <v>35.5763854636149</v>
      </c>
      <c r="AT84" s="65">
        <f ca="1" t="shared" si="114"/>
        <v>0.93</v>
      </c>
      <c r="AU84" s="66">
        <f ca="1" t="shared" si="152"/>
        <v>6.300750000000001</v>
      </c>
      <c r="AV84" s="66">
        <f ca="1" t="shared" si="153"/>
        <v>6.300750000000001</v>
      </c>
      <c r="AW84" s="66">
        <f ca="1" t="shared" si="154"/>
        <v>0</v>
      </c>
      <c r="AX84" s="63">
        <f ca="1" t="shared" si="155"/>
        <v>0.6076842045577369</v>
      </c>
      <c r="AY84" s="67">
        <f ca="1" t="shared" si="115"/>
        <v>36.38031310262951</v>
      </c>
      <c r="AZ84" s="65">
        <f ca="1" t="shared" si="156"/>
        <v>0.0225972264618286</v>
      </c>
      <c r="BA84" s="68">
        <f ca="1" t="shared" si="116"/>
        <v>0.030548068728226907</v>
      </c>
      <c r="BB84" s="169">
        <f t="shared" si="157"/>
        <v>6.213</v>
      </c>
      <c r="BC84" s="169">
        <f t="shared" si="158"/>
        <v>6.213</v>
      </c>
      <c r="BD84" s="169">
        <v>0</v>
      </c>
      <c r="BE84" s="171">
        <f t="shared" si="159"/>
        <v>0</v>
      </c>
      <c r="BF84" s="182">
        <v>0</v>
      </c>
      <c r="BG84" s="182">
        <f t="shared" si="160"/>
        <v>0</v>
      </c>
      <c r="BH84" s="182">
        <f t="shared" si="161"/>
        <v>0</v>
      </c>
      <c r="BI84" s="169">
        <f t="shared" si="162"/>
        <v>0.14050000000000007</v>
      </c>
      <c r="BJ84" s="171">
        <f t="shared" si="163"/>
        <v>6.3535</v>
      </c>
      <c r="BK84" s="171">
        <f t="shared" si="164"/>
        <v>0.12190067011305553</v>
      </c>
      <c r="BL84" s="171">
        <f t="shared" si="165"/>
        <v>6.475400670113056</v>
      </c>
      <c r="BM84" s="81">
        <f t="shared" si="166"/>
        <v>6.475400670113056</v>
      </c>
      <c r="BN84" s="63">
        <f t="shared" si="117"/>
        <v>6.775</v>
      </c>
      <c r="BO84" s="63">
        <f t="shared" si="167"/>
        <v>6.475400670113056</v>
      </c>
      <c r="BP84" s="63">
        <f t="shared" si="168"/>
        <v>0.29959932988694415</v>
      </c>
      <c r="BQ84" s="63">
        <f t="shared" si="169"/>
        <v>0</v>
      </c>
      <c r="BR84" s="67">
        <f t="shared" si="170"/>
        <v>36.04371006806325</v>
      </c>
      <c r="BS84" s="69">
        <f ca="1" t="shared" si="118"/>
        <v>0.93</v>
      </c>
      <c r="BT84" s="66">
        <f ca="1" t="shared" si="171"/>
        <v>6.300750000000001</v>
      </c>
      <c r="BU84" s="66">
        <f ca="1" t="shared" si="172"/>
        <v>6.300750000000001</v>
      </c>
      <c r="BV84" s="66">
        <f ca="1" t="shared" si="173"/>
        <v>0</v>
      </c>
      <c r="BW84" s="63">
        <f ca="1" t="shared" si="174"/>
        <v>0.17465067011305546</v>
      </c>
      <c r="BX84" s="67">
        <f ca="1" t="shared" si="119"/>
        <v>35.05800570624853</v>
      </c>
      <c r="BY84" s="65">
        <f ca="1" t="shared" si="175"/>
        <v>-0.02734747227611589</v>
      </c>
      <c r="BZ84" s="68">
        <f ca="1" t="shared" si="120"/>
        <v>-0.006909039729340871</v>
      </c>
      <c r="CA84" s="81">
        <f t="shared" si="176"/>
        <v>6.775</v>
      </c>
      <c r="CB84" s="63">
        <f t="shared" si="177"/>
        <v>6.775</v>
      </c>
      <c r="CC84" s="67">
        <f t="shared" si="178"/>
        <v>35.90132553133049</v>
      </c>
      <c r="CD84" s="69">
        <f ca="1" t="shared" si="121"/>
        <v>0.93</v>
      </c>
      <c r="CE84" s="190">
        <f ca="1" t="shared" si="179"/>
        <v>6.300750000000001</v>
      </c>
      <c r="CF84" s="70">
        <f ca="1" t="shared" si="180"/>
        <v>6.300750000000001</v>
      </c>
      <c r="CG84" s="67">
        <f ca="1" t="shared" si="181"/>
        <v>39.30481757441425</v>
      </c>
      <c r="CH84" s="65">
        <f ca="1" t="shared" si="182"/>
        <v>0.09480129194989151</v>
      </c>
      <c r="CI84" s="65">
        <f ca="1" t="shared" si="122"/>
        <v>0.1133907431956711</v>
      </c>
      <c r="CJ84" s="68">
        <f ca="1" t="shared" si="183"/>
        <v>0.12113672134546993</v>
      </c>
      <c r="CL84" s="97">
        <f ca="1" t="shared" si="123"/>
        <v>1948473.6317472488</v>
      </c>
      <c r="CM84" s="97">
        <f ca="1" t="shared" si="124"/>
        <v>2007995.7381650019</v>
      </c>
      <c r="CN84" s="97">
        <f ca="1" t="shared" si="125"/>
        <v>1935011.550013934</v>
      </c>
      <c r="CO84" s="97">
        <f ca="1" t="shared" si="184"/>
        <v>2169412.504948238</v>
      </c>
      <c r="CQ84" s="97">
        <f t="shared" si="126"/>
        <v>2158455.03269502</v>
      </c>
      <c r="CR84" s="97">
        <f t="shared" si="127"/>
        <v>2111422.9008800806</v>
      </c>
      <c r="CS84" s="97">
        <f t="shared" si="128"/>
        <v>2139158.1488294858</v>
      </c>
      <c r="CT84" s="97">
        <f t="shared" si="185"/>
        <v>2130707.768958933</v>
      </c>
      <c r="CV84" s="97">
        <f ca="1" t="shared" si="129"/>
        <v>1948473.631747249</v>
      </c>
      <c r="CW84" s="97">
        <f ca="1" t="shared" si="186"/>
        <v>2007995.7381650016</v>
      </c>
      <c r="CX84" s="97">
        <f ca="1" t="shared" si="187"/>
        <v>2007995.7381650016</v>
      </c>
      <c r="CY84" s="97">
        <f ca="1" t="shared" si="188"/>
        <v>2169412.504948238</v>
      </c>
    </row>
    <row r="85" spans="2:103" ht="12.75">
      <c r="B85" s="14">
        <v>10204</v>
      </c>
      <c r="C85" s="15" t="s">
        <v>84</v>
      </c>
      <c r="D85" s="16">
        <f>RHWM!D72</f>
        <v>1</v>
      </c>
      <c r="E85" s="16">
        <f>RHWM!E72</f>
        <v>0</v>
      </c>
      <c r="F85" s="18">
        <f>RHWM!M72</f>
        <v>85.455</v>
      </c>
      <c r="G85" s="18">
        <f>RHWM!N72</f>
        <v>87.174</v>
      </c>
      <c r="H85" s="18">
        <f>RHWM!O72</f>
        <v>79.556</v>
      </c>
      <c r="I85" s="18">
        <v>5.899</v>
      </c>
      <c r="J85" s="18">
        <v>7.618</v>
      </c>
      <c r="K85" s="18">
        <v>0</v>
      </c>
      <c r="L85" s="18">
        <v>0</v>
      </c>
      <c r="M85" s="18">
        <v>5.899</v>
      </c>
      <c r="N85" s="18">
        <v>7.618</v>
      </c>
      <c r="O85" s="81">
        <f t="shared" si="130"/>
        <v>79.556</v>
      </c>
      <c r="P85" s="63">
        <f t="shared" si="131"/>
        <v>87.174</v>
      </c>
      <c r="Q85" s="63">
        <f t="shared" si="132"/>
        <v>79.556</v>
      </c>
      <c r="R85" s="63">
        <f t="shared" si="133"/>
        <v>7.618000000000009</v>
      </c>
      <c r="S85" s="63">
        <f t="shared" si="134"/>
        <v>0</v>
      </c>
      <c r="T85" s="67">
        <f t="shared" si="109"/>
        <v>36.49826688451978</v>
      </c>
      <c r="U85" s="138">
        <f ca="1" t="shared" si="110"/>
        <v>0.97</v>
      </c>
      <c r="V85" s="66">
        <f ca="1" t="shared" si="111"/>
        <v>84.55878</v>
      </c>
      <c r="W85" s="66">
        <f ca="1" t="shared" si="135"/>
        <v>79.556</v>
      </c>
      <c r="X85" s="66">
        <f ca="1" t="shared" si="136"/>
        <v>5.002780000000001</v>
      </c>
      <c r="Y85" s="63">
        <f ca="1" t="shared" si="137"/>
        <v>0</v>
      </c>
      <c r="Z85" s="67">
        <f ca="1" t="shared" si="90"/>
        <v>36.57807214333968</v>
      </c>
      <c r="AA85" s="68">
        <f ca="1" t="shared" si="112"/>
        <v>0.002186549270199789</v>
      </c>
      <c r="AB85" s="169">
        <f t="shared" si="138"/>
        <v>79.556</v>
      </c>
      <c r="AC85" s="169">
        <f t="shared" si="139"/>
        <v>79.556</v>
      </c>
      <c r="AD85" s="169">
        <v>0.7865000000000001</v>
      </c>
      <c r="AE85" s="171">
        <f t="shared" si="140"/>
        <v>0.39325000000000004</v>
      </c>
      <c r="AF85" s="182">
        <v>0</v>
      </c>
      <c r="AG85" s="182">
        <f t="shared" si="141"/>
        <v>0</v>
      </c>
      <c r="AH85" s="182">
        <f t="shared" si="142"/>
        <v>0</v>
      </c>
      <c r="AI85" s="182">
        <v>0</v>
      </c>
      <c r="AJ85" s="171">
        <f t="shared" si="143"/>
        <v>3.8090000000000046</v>
      </c>
      <c r="AK85" s="171">
        <f t="shared" si="144"/>
        <v>83.75825</v>
      </c>
      <c r="AL85" s="171">
        <f t="shared" si="145"/>
        <v>5.3452854502461005</v>
      </c>
      <c r="AM85" s="171">
        <f t="shared" si="146"/>
        <v>89.1035354502461</v>
      </c>
      <c r="AN85" s="81">
        <f t="shared" si="147"/>
        <v>89.1035354502461</v>
      </c>
      <c r="AO85" s="63">
        <f t="shared" si="148"/>
        <v>87.174</v>
      </c>
      <c r="AP85" s="63">
        <f t="shared" si="149"/>
        <v>87.174</v>
      </c>
      <c r="AQ85" s="63">
        <f t="shared" si="150"/>
        <v>0</v>
      </c>
      <c r="AR85" s="63">
        <f t="shared" si="151"/>
        <v>1.9295354502460924</v>
      </c>
      <c r="AS85" s="67">
        <f t="shared" si="113"/>
        <v>35.5763854636149</v>
      </c>
      <c r="AT85" s="65">
        <f ca="1" t="shared" si="114"/>
        <v>0.97</v>
      </c>
      <c r="AU85" s="66">
        <f ca="1" t="shared" si="152"/>
        <v>84.55878</v>
      </c>
      <c r="AV85" s="66">
        <f ca="1" t="shared" si="153"/>
        <v>84.55878</v>
      </c>
      <c r="AW85" s="66">
        <f ca="1" t="shared" si="154"/>
        <v>0</v>
      </c>
      <c r="AX85" s="63">
        <f ca="1" t="shared" si="155"/>
        <v>4.5447554502461</v>
      </c>
      <c r="AY85" s="67">
        <f ca="1" t="shared" si="115"/>
        <v>36.38031310262951</v>
      </c>
      <c r="AZ85" s="65">
        <f ca="1" t="shared" si="156"/>
        <v>0.0225972264618286</v>
      </c>
      <c r="BA85" s="68">
        <f ca="1" t="shared" si="116"/>
        <v>-0.0054064916252341</v>
      </c>
      <c r="BB85" s="169">
        <f t="shared" si="157"/>
        <v>79.556</v>
      </c>
      <c r="BC85" s="169">
        <f t="shared" si="158"/>
        <v>79.556</v>
      </c>
      <c r="BD85" s="169">
        <v>0.7865000000000001</v>
      </c>
      <c r="BE85" s="171">
        <f t="shared" si="159"/>
        <v>0.39325000000000004</v>
      </c>
      <c r="BF85" s="182">
        <v>0</v>
      </c>
      <c r="BG85" s="182">
        <f t="shared" si="160"/>
        <v>0</v>
      </c>
      <c r="BH85" s="182">
        <f t="shared" si="161"/>
        <v>0</v>
      </c>
      <c r="BI85" s="169">
        <f t="shared" si="162"/>
        <v>1.9045000000000023</v>
      </c>
      <c r="BJ85" s="171">
        <f t="shared" si="163"/>
        <v>81.85374999999999</v>
      </c>
      <c r="BK85" s="171">
        <f t="shared" si="164"/>
        <v>1.5704772135463159</v>
      </c>
      <c r="BL85" s="171">
        <f t="shared" si="165"/>
        <v>83.4242272135463</v>
      </c>
      <c r="BM85" s="81">
        <f t="shared" si="166"/>
        <v>83.4242272135463</v>
      </c>
      <c r="BN85" s="63">
        <f t="shared" si="117"/>
        <v>87.174</v>
      </c>
      <c r="BO85" s="63">
        <f t="shared" si="167"/>
        <v>83.4242272135463</v>
      </c>
      <c r="BP85" s="63">
        <f t="shared" si="168"/>
        <v>3.749772786453704</v>
      </c>
      <c r="BQ85" s="63">
        <f t="shared" si="169"/>
        <v>0</v>
      </c>
      <c r="BR85" s="67">
        <f t="shared" si="170"/>
        <v>36.00953119011846</v>
      </c>
      <c r="BS85" s="69">
        <f ca="1" t="shared" si="118"/>
        <v>0.97</v>
      </c>
      <c r="BT85" s="66">
        <f ca="1" t="shared" si="171"/>
        <v>84.55878</v>
      </c>
      <c r="BU85" s="66">
        <f ca="1" t="shared" si="172"/>
        <v>83.4242272135463</v>
      </c>
      <c r="BV85" s="66">
        <f ca="1" t="shared" si="173"/>
        <v>1.1345527864536962</v>
      </c>
      <c r="BW85" s="63">
        <f ca="1" t="shared" si="174"/>
        <v>0</v>
      </c>
      <c r="BX85" s="67">
        <f ca="1" t="shared" si="119"/>
        <v>35.43452265480696</v>
      </c>
      <c r="BY85" s="65">
        <f ca="1" t="shared" si="175"/>
        <v>-0.015968231640552055</v>
      </c>
      <c r="BZ85" s="68">
        <f ca="1" t="shared" si="120"/>
        <v>-0.03126325203940372</v>
      </c>
      <c r="CA85" s="81">
        <f t="shared" si="176"/>
        <v>87.174</v>
      </c>
      <c r="CB85" s="63">
        <f t="shared" si="177"/>
        <v>87.174</v>
      </c>
      <c r="CC85" s="67">
        <f t="shared" si="178"/>
        <v>35.90132553133049</v>
      </c>
      <c r="CD85" s="69">
        <f ca="1" t="shared" si="121"/>
        <v>0.97</v>
      </c>
      <c r="CE85" s="190">
        <f ca="1" t="shared" si="179"/>
        <v>84.55878</v>
      </c>
      <c r="CF85" s="70">
        <f ca="1" t="shared" si="180"/>
        <v>84.55878</v>
      </c>
      <c r="CG85" s="67">
        <f ca="1" t="shared" si="181"/>
        <v>39.30481757441425</v>
      </c>
      <c r="CH85" s="65">
        <f ca="1" t="shared" si="182"/>
        <v>0.09480129194989151</v>
      </c>
      <c r="CI85" s="65">
        <f ca="1" t="shared" si="122"/>
        <v>0.0745459033595095</v>
      </c>
      <c r="CJ85" s="68">
        <f ca="1" t="shared" si="183"/>
        <v>0.10922384809047947</v>
      </c>
      <c r="CL85" s="97">
        <f ca="1" t="shared" si="123"/>
        <v>27094655.079488825</v>
      </c>
      <c r="CM85" s="97">
        <f ca="1" t="shared" si="124"/>
        <v>26948168.053712964</v>
      </c>
      <c r="CN85" s="97">
        <f ca="1" t="shared" si="125"/>
        <v>26247588.048818056</v>
      </c>
      <c r="CO85" s="97">
        <f ca="1" t="shared" si="184"/>
        <v>29114450.618603647</v>
      </c>
      <c r="CQ85" s="97">
        <f t="shared" si="126"/>
        <v>27871691.276346277</v>
      </c>
      <c r="CR85" s="97">
        <f t="shared" si="127"/>
        <v>27167701.83930925</v>
      </c>
      <c r="CS85" s="97">
        <f t="shared" si="128"/>
        <v>27498471.078434307</v>
      </c>
      <c r="CT85" s="97">
        <f t="shared" si="185"/>
        <v>27415840.450365473</v>
      </c>
      <c r="CV85" s="97">
        <f ca="1" t="shared" si="129"/>
        <v>27094655.079488825</v>
      </c>
      <c r="CW85" s="97">
        <f ca="1" t="shared" si="186"/>
        <v>26948168.053712964</v>
      </c>
      <c r="CX85" s="97">
        <f ca="1" t="shared" si="187"/>
        <v>26948168.053712964</v>
      </c>
      <c r="CY85" s="97">
        <f ca="1" t="shared" si="188"/>
        <v>29114450.618603647</v>
      </c>
    </row>
    <row r="86" spans="2:103" ht="12.75">
      <c r="B86" s="14">
        <v>10209</v>
      </c>
      <c r="C86" s="15" t="s">
        <v>85</v>
      </c>
      <c r="D86" s="16">
        <f>RHWM!D73</f>
        <v>1</v>
      </c>
      <c r="E86" s="16">
        <f>RHWM!E73</f>
        <v>0</v>
      </c>
      <c r="F86" s="18">
        <f>RHWM!M73</f>
        <v>127.892</v>
      </c>
      <c r="G86" s="18">
        <f>RHWM!N73</f>
        <v>128.883</v>
      </c>
      <c r="H86" s="18">
        <f>RHWM!O73</f>
        <v>104.89</v>
      </c>
      <c r="I86" s="18">
        <v>23.002</v>
      </c>
      <c r="J86" s="18">
        <v>23.993</v>
      </c>
      <c r="K86" s="18">
        <v>0</v>
      </c>
      <c r="L86" s="18">
        <v>0</v>
      </c>
      <c r="M86" s="18">
        <v>23.002</v>
      </c>
      <c r="N86" s="18">
        <v>23.993</v>
      </c>
      <c r="O86" s="81">
        <f t="shared" si="130"/>
        <v>104.89</v>
      </c>
      <c r="P86" s="63">
        <f t="shared" si="131"/>
        <v>128.883</v>
      </c>
      <c r="Q86" s="63">
        <f t="shared" si="132"/>
        <v>104.89</v>
      </c>
      <c r="R86" s="63">
        <f t="shared" si="133"/>
        <v>23.99300000000001</v>
      </c>
      <c r="S86" s="63">
        <f t="shared" si="134"/>
        <v>0</v>
      </c>
      <c r="T86" s="67">
        <f t="shared" si="109"/>
        <v>39.37955751892368</v>
      </c>
      <c r="U86" s="138">
        <f ca="1" t="shared" si="110"/>
        <v>0.9</v>
      </c>
      <c r="V86" s="66">
        <f ca="1" t="shared" si="111"/>
        <v>115.99470000000001</v>
      </c>
      <c r="W86" s="66">
        <f ca="1" t="shared" si="135"/>
        <v>104.89</v>
      </c>
      <c r="X86" s="66">
        <f ca="1" t="shared" si="136"/>
        <v>11.104700000000008</v>
      </c>
      <c r="Y86" s="63">
        <f ca="1" t="shared" si="137"/>
        <v>0</v>
      </c>
      <c r="Z86" s="67">
        <f ca="1" t="shared" si="90"/>
        <v>37.60978181272459</v>
      </c>
      <c r="AA86" s="68">
        <f ca="1" t="shared" si="112"/>
        <v>-0.04494148278198995</v>
      </c>
      <c r="AB86" s="169">
        <f t="shared" si="138"/>
        <v>104.89</v>
      </c>
      <c r="AC86" s="169">
        <f t="shared" si="139"/>
        <v>104.89</v>
      </c>
      <c r="AD86" s="169">
        <v>0.2665</v>
      </c>
      <c r="AE86" s="171">
        <f t="shared" si="140"/>
        <v>0.13325</v>
      </c>
      <c r="AF86" s="182">
        <v>0</v>
      </c>
      <c r="AG86" s="182">
        <f t="shared" si="141"/>
        <v>0</v>
      </c>
      <c r="AH86" s="182">
        <f t="shared" si="142"/>
        <v>0</v>
      </c>
      <c r="AI86" s="182">
        <v>0</v>
      </c>
      <c r="AJ86" s="171">
        <f t="shared" si="143"/>
        <v>11.996500000000005</v>
      </c>
      <c r="AK86" s="171">
        <f t="shared" si="144"/>
        <v>117.01975000000002</v>
      </c>
      <c r="AL86" s="171">
        <f t="shared" si="145"/>
        <v>7.467968433753524</v>
      </c>
      <c r="AM86" s="171">
        <f t="shared" si="146"/>
        <v>124.48771843375354</v>
      </c>
      <c r="AN86" s="81">
        <f t="shared" si="147"/>
        <v>124.48771843375354</v>
      </c>
      <c r="AO86" s="63">
        <f t="shared" si="148"/>
        <v>128.883</v>
      </c>
      <c r="AP86" s="63">
        <f t="shared" si="149"/>
        <v>124.48771843375354</v>
      </c>
      <c r="AQ86" s="63">
        <f t="shared" si="150"/>
        <v>4.395281566246467</v>
      </c>
      <c r="AR86" s="63">
        <f t="shared" si="151"/>
        <v>0</v>
      </c>
      <c r="AS86" s="67">
        <f t="shared" si="113"/>
        <v>36.515702062697564</v>
      </c>
      <c r="AT86" s="65">
        <f ca="1" t="shared" si="114"/>
        <v>0.9</v>
      </c>
      <c r="AU86" s="66">
        <f ca="1" t="shared" si="152"/>
        <v>115.99470000000001</v>
      </c>
      <c r="AV86" s="66">
        <f ca="1" t="shared" si="153"/>
        <v>115.99470000000001</v>
      </c>
      <c r="AW86" s="66">
        <f ca="1" t="shared" si="154"/>
        <v>0</v>
      </c>
      <c r="AX86" s="63">
        <f ca="1" t="shared" si="155"/>
        <v>8.493018433753534</v>
      </c>
      <c r="AY86" s="67">
        <f ca="1" t="shared" si="115"/>
        <v>36.38031310262951</v>
      </c>
      <c r="AZ86" s="65">
        <f ca="1" t="shared" si="156"/>
        <v>-0.003707691552406467</v>
      </c>
      <c r="BA86" s="68">
        <f ca="1" t="shared" si="116"/>
        <v>-0.03269013141892563</v>
      </c>
      <c r="BB86" s="169">
        <f t="shared" si="157"/>
        <v>104.89</v>
      </c>
      <c r="BC86" s="169">
        <f t="shared" si="158"/>
        <v>104.89</v>
      </c>
      <c r="BD86" s="169">
        <v>0.2665</v>
      </c>
      <c r="BE86" s="171">
        <f t="shared" si="159"/>
        <v>0.13325</v>
      </c>
      <c r="BF86" s="182">
        <v>0</v>
      </c>
      <c r="BG86" s="182">
        <f t="shared" si="160"/>
        <v>0</v>
      </c>
      <c r="BH86" s="182">
        <f t="shared" si="161"/>
        <v>0</v>
      </c>
      <c r="BI86" s="169">
        <f t="shared" si="162"/>
        <v>5.998250000000002</v>
      </c>
      <c r="BJ86" s="171">
        <f t="shared" si="163"/>
        <v>111.0215</v>
      </c>
      <c r="BK86" s="171">
        <f t="shared" si="164"/>
        <v>2.1301007707494444</v>
      </c>
      <c r="BL86" s="171">
        <f t="shared" si="165"/>
        <v>113.15160077074945</v>
      </c>
      <c r="BM86" s="81">
        <f t="shared" si="166"/>
        <v>113.15160077074945</v>
      </c>
      <c r="BN86" s="63">
        <f t="shared" si="117"/>
        <v>128.883</v>
      </c>
      <c r="BO86" s="63">
        <f t="shared" si="167"/>
        <v>113.15160077074945</v>
      </c>
      <c r="BP86" s="63">
        <f t="shared" si="168"/>
        <v>15.731399229250556</v>
      </c>
      <c r="BQ86" s="63">
        <f t="shared" si="169"/>
        <v>0</v>
      </c>
      <c r="BR86" s="67">
        <f t="shared" si="170"/>
        <v>38.24879224268157</v>
      </c>
      <c r="BS86" s="69">
        <f ca="1" t="shared" si="118"/>
        <v>0.9</v>
      </c>
      <c r="BT86" s="66">
        <f ca="1" t="shared" si="171"/>
        <v>115.99470000000001</v>
      </c>
      <c r="BU86" s="66">
        <f ca="1" t="shared" si="172"/>
        <v>113.15160077074945</v>
      </c>
      <c r="BV86" s="66">
        <f ca="1" t="shared" si="173"/>
        <v>2.843099229250555</v>
      </c>
      <c r="BW86" s="63">
        <f ca="1" t="shared" si="174"/>
        <v>0</v>
      </c>
      <c r="BX86" s="67">
        <f ca="1" t="shared" si="119"/>
        <v>35.745821911194085</v>
      </c>
      <c r="BY86" s="65">
        <f ca="1" t="shared" si="175"/>
        <v>-0.0654391991152713</v>
      </c>
      <c r="BZ86" s="68">
        <f ca="1" t="shared" si="120"/>
        <v>-0.04956050824256231</v>
      </c>
      <c r="CA86" s="81">
        <f t="shared" si="176"/>
        <v>128.883</v>
      </c>
      <c r="CB86" s="63">
        <f t="shared" si="177"/>
        <v>128.883</v>
      </c>
      <c r="CC86" s="67">
        <f t="shared" si="178"/>
        <v>35.90132553133049</v>
      </c>
      <c r="CD86" s="69">
        <f ca="1" t="shared" si="121"/>
        <v>0.9</v>
      </c>
      <c r="CE86" s="190">
        <f ca="1" t="shared" si="179"/>
        <v>115.99470000000001</v>
      </c>
      <c r="CF86" s="70">
        <f ca="1" t="shared" si="180"/>
        <v>115.99470000000001</v>
      </c>
      <c r="CG86" s="67">
        <f ca="1" t="shared" si="181"/>
        <v>39.30481757441425</v>
      </c>
      <c r="CH86" s="65">
        <f ca="1" t="shared" si="182"/>
        <v>0.09480129194989151</v>
      </c>
      <c r="CI86" s="65">
        <f ca="1" t="shared" si="122"/>
        <v>0.04506901343193048</v>
      </c>
      <c r="CJ86" s="68">
        <f ca="1" t="shared" si="183"/>
        <v>0.09956396224605024</v>
      </c>
      <c r="CL86" s="97">
        <f ca="1" t="shared" si="123"/>
        <v>38215809.73986822</v>
      </c>
      <c r="CM86" s="97">
        <f ca="1" t="shared" si="124"/>
        <v>36966529.89719128</v>
      </c>
      <c r="CN86" s="97">
        <f ca="1" t="shared" si="125"/>
        <v>36321814.78625929</v>
      </c>
      <c r="CO86" s="97">
        <f ca="1" t="shared" si="184"/>
        <v>39938158.58234644</v>
      </c>
      <c r="CQ86" s="97">
        <f t="shared" si="126"/>
        <v>44460114.28259222</v>
      </c>
      <c r="CR86" s="97">
        <f t="shared" si="127"/>
        <v>41226778.28557266</v>
      </c>
      <c r="CS86" s="97">
        <f t="shared" si="128"/>
        <v>43183463.23377451</v>
      </c>
      <c r="CT86" s="97">
        <f t="shared" si="185"/>
        <v>40533137.91686114</v>
      </c>
      <c r="CV86" s="97">
        <f ca="1" t="shared" si="129"/>
        <v>38215809.73986822</v>
      </c>
      <c r="CW86" s="97">
        <f ca="1" t="shared" si="186"/>
        <v>36966529.89719127</v>
      </c>
      <c r="CX86" s="97">
        <f ca="1" t="shared" si="187"/>
        <v>36966529.89719127</v>
      </c>
      <c r="CY86" s="97">
        <f ca="1" t="shared" si="188"/>
        <v>39938158.58234644</v>
      </c>
    </row>
    <row r="87" spans="2:103" ht="12.75">
      <c r="B87" s="14">
        <v>10230</v>
      </c>
      <c r="C87" s="15" t="s">
        <v>86</v>
      </c>
      <c r="D87" s="16">
        <f>RHWM!D74</f>
        <v>1</v>
      </c>
      <c r="E87" s="16">
        <f>RHWM!E74</f>
        <v>0</v>
      </c>
      <c r="F87" s="18">
        <f>RHWM!M74</f>
        <v>12.338</v>
      </c>
      <c r="G87" s="18">
        <f>RHWM!N74</f>
        <v>12.471</v>
      </c>
      <c r="H87" s="18">
        <f>RHWM!O74</f>
        <v>9.702</v>
      </c>
      <c r="I87" s="18">
        <v>2.636</v>
      </c>
      <c r="J87" s="18">
        <v>2.769</v>
      </c>
      <c r="K87" s="18">
        <v>0</v>
      </c>
      <c r="L87" s="18">
        <v>0</v>
      </c>
      <c r="M87" s="18">
        <v>2.636</v>
      </c>
      <c r="N87" s="18">
        <v>2.769</v>
      </c>
      <c r="O87" s="81">
        <f t="shared" si="130"/>
        <v>9.702</v>
      </c>
      <c r="P87" s="63">
        <f t="shared" si="131"/>
        <v>12.471</v>
      </c>
      <c r="Q87" s="63">
        <f t="shared" si="132"/>
        <v>9.702</v>
      </c>
      <c r="R87" s="63">
        <f t="shared" si="133"/>
        <v>2.769</v>
      </c>
      <c r="S87" s="63">
        <f t="shared" si="134"/>
        <v>0</v>
      </c>
      <c r="T87" s="67">
        <f t="shared" si="109"/>
        <v>40.42603653174719</v>
      </c>
      <c r="U87" s="138">
        <f ca="1" t="shared" si="110"/>
        <v>1.2</v>
      </c>
      <c r="V87" s="66">
        <f ca="1" t="shared" si="111"/>
        <v>14.9652</v>
      </c>
      <c r="W87" s="66">
        <f ca="1" t="shared" si="135"/>
        <v>9.702</v>
      </c>
      <c r="X87" s="66">
        <f ca="1" t="shared" si="136"/>
        <v>5.263199999999999</v>
      </c>
      <c r="Y87" s="63">
        <f ca="1" t="shared" si="137"/>
        <v>0</v>
      </c>
      <c r="Z87" s="67">
        <f ca="1" t="shared" si="90"/>
        <v>44.83070442124275</v>
      </c>
      <c r="AA87" s="68">
        <f ca="1" t="shared" si="112"/>
        <v>0.10895621404874833</v>
      </c>
      <c r="AB87" s="169">
        <f t="shared" si="138"/>
        <v>9.702</v>
      </c>
      <c r="AC87" s="169">
        <f t="shared" si="139"/>
        <v>9.702</v>
      </c>
      <c r="AD87" s="169">
        <v>0.042</v>
      </c>
      <c r="AE87" s="171">
        <f t="shared" si="140"/>
        <v>0.021</v>
      </c>
      <c r="AF87" s="182">
        <v>0</v>
      </c>
      <c r="AG87" s="182">
        <f t="shared" si="141"/>
        <v>0</v>
      </c>
      <c r="AH87" s="182">
        <f t="shared" si="142"/>
        <v>0</v>
      </c>
      <c r="AI87" s="182">
        <v>0</v>
      </c>
      <c r="AJ87" s="171">
        <f t="shared" si="143"/>
        <v>1.3845</v>
      </c>
      <c r="AK87" s="171">
        <f t="shared" si="144"/>
        <v>11.107500000000002</v>
      </c>
      <c r="AL87" s="171">
        <f t="shared" si="145"/>
        <v>0.7088586275215703</v>
      </c>
      <c r="AM87" s="171">
        <f t="shared" si="146"/>
        <v>11.816358627521572</v>
      </c>
      <c r="AN87" s="81">
        <f t="shared" si="147"/>
        <v>11.816358627521572</v>
      </c>
      <c r="AO87" s="63">
        <f t="shared" si="148"/>
        <v>12.471</v>
      </c>
      <c r="AP87" s="63">
        <f t="shared" si="149"/>
        <v>11.816358627521572</v>
      </c>
      <c r="AQ87" s="63">
        <f t="shared" si="150"/>
        <v>0.6546413724784284</v>
      </c>
      <c r="AR87" s="63">
        <f t="shared" si="151"/>
        <v>0</v>
      </c>
      <c r="AS87" s="67">
        <f t="shared" si="113"/>
        <v>37.02223500439879</v>
      </c>
      <c r="AT87" s="65">
        <f ca="1" t="shared" si="114"/>
        <v>1.2</v>
      </c>
      <c r="AU87" s="66">
        <f ca="1" t="shared" si="152"/>
        <v>14.9652</v>
      </c>
      <c r="AV87" s="66">
        <f ca="1" t="shared" si="153"/>
        <v>11.816358627521572</v>
      </c>
      <c r="AW87" s="66">
        <f ca="1" t="shared" si="154"/>
        <v>3.1488413724784277</v>
      </c>
      <c r="AX87" s="63">
        <f ca="1" t="shared" si="155"/>
        <v>0</v>
      </c>
      <c r="AY87" s="67">
        <f ca="1" t="shared" si="115"/>
        <v>42.00663499539135</v>
      </c>
      <c r="AZ87" s="65">
        <f ca="1" t="shared" si="156"/>
        <v>0.13463260633509422</v>
      </c>
      <c r="BA87" s="68">
        <f ca="1" t="shared" si="116"/>
        <v>-0.06299408992809019</v>
      </c>
      <c r="BB87" s="169">
        <f t="shared" si="157"/>
        <v>9.702</v>
      </c>
      <c r="BC87" s="169">
        <f t="shared" si="158"/>
        <v>9.702</v>
      </c>
      <c r="BD87" s="169">
        <v>0.042</v>
      </c>
      <c r="BE87" s="171">
        <f t="shared" si="159"/>
        <v>0.021</v>
      </c>
      <c r="BF87" s="182">
        <v>0</v>
      </c>
      <c r="BG87" s="182">
        <f t="shared" si="160"/>
        <v>0</v>
      </c>
      <c r="BH87" s="182">
        <f t="shared" si="161"/>
        <v>0</v>
      </c>
      <c r="BI87" s="169">
        <f t="shared" si="162"/>
        <v>0.69225</v>
      </c>
      <c r="BJ87" s="171">
        <f t="shared" si="163"/>
        <v>10.41525</v>
      </c>
      <c r="BK87" s="171">
        <f t="shared" si="164"/>
        <v>0.1998309521358309</v>
      </c>
      <c r="BL87" s="171">
        <f t="shared" si="165"/>
        <v>10.61508095213583</v>
      </c>
      <c r="BM87" s="81">
        <f t="shared" si="166"/>
        <v>10.61508095213583</v>
      </c>
      <c r="BN87" s="63">
        <f t="shared" si="117"/>
        <v>12.471</v>
      </c>
      <c r="BO87" s="63">
        <f t="shared" si="167"/>
        <v>10.61508095213583</v>
      </c>
      <c r="BP87" s="63">
        <f t="shared" si="168"/>
        <v>1.8559190478641696</v>
      </c>
      <c r="BQ87" s="63">
        <f t="shared" si="169"/>
        <v>0</v>
      </c>
      <c r="BR87" s="67">
        <f t="shared" si="170"/>
        <v>39.00685593769905</v>
      </c>
      <c r="BS87" s="69">
        <f ca="1" t="shared" si="118"/>
        <v>1.2</v>
      </c>
      <c r="BT87" s="66">
        <f ca="1" t="shared" si="171"/>
        <v>14.9652</v>
      </c>
      <c r="BU87" s="66">
        <f ca="1" t="shared" si="172"/>
        <v>10.61508095213583</v>
      </c>
      <c r="BV87" s="66">
        <f ca="1" t="shared" si="173"/>
        <v>4.350119047864169</v>
      </c>
      <c r="BW87" s="63">
        <f ca="1" t="shared" si="174"/>
        <v>0</v>
      </c>
      <c r="BX87" s="67">
        <f ca="1" t="shared" si="119"/>
        <v>43.21513129750718</v>
      </c>
      <c r="BY87" s="65">
        <f ca="1" t="shared" si="175"/>
        <v>0.10788553085461428</v>
      </c>
      <c r="BZ87" s="68">
        <f ca="1" t="shared" si="120"/>
        <v>-0.03603720139115285</v>
      </c>
      <c r="CA87" s="81">
        <f t="shared" si="176"/>
        <v>12.471</v>
      </c>
      <c r="CB87" s="63">
        <f t="shared" si="177"/>
        <v>12.471</v>
      </c>
      <c r="CC87" s="67">
        <f t="shared" si="178"/>
        <v>35.90132553133049</v>
      </c>
      <c r="CD87" s="69">
        <f ca="1" t="shared" si="121"/>
        <v>1.2</v>
      </c>
      <c r="CE87" s="190">
        <f ca="1" t="shared" si="179"/>
        <v>14.9652</v>
      </c>
      <c r="CF87" s="70">
        <f ca="1" t="shared" si="180"/>
        <v>14.9652</v>
      </c>
      <c r="CG87" s="67">
        <f ca="1" t="shared" si="181"/>
        <v>39.30481757441425</v>
      </c>
      <c r="CH87" s="65">
        <f ca="1" t="shared" si="182"/>
        <v>0.09480129194989151</v>
      </c>
      <c r="CI87" s="65">
        <f ca="1" t="shared" si="122"/>
        <v>-0.12326120943596175</v>
      </c>
      <c r="CJ87" s="68">
        <f ca="1" t="shared" si="183"/>
        <v>-0.09048482801482283</v>
      </c>
      <c r="CL87" s="97">
        <f ca="1" t="shared" si="123"/>
        <v>5877088.010369889</v>
      </c>
      <c r="CM87" s="97">
        <f ca="1" t="shared" si="124"/>
        <v>5506866.199729348</v>
      </c>
      <c r="CN87" s="97">
        <f ca="1" t="shared" si="125"/>
        <v>5665294.20614666</v>
      </c>
      <c r="CO87" s="97">
        <f ca="1" t="shared" si="184"/>
        <v>5152671.034250108</v>
      </c>
      <c r="CQ87" s="97">
        <f t="shared" si="126"/>
        <v>4416381.169905792</v>
      </c>
      <c r="CR87" s="97">
        <f t="shared" si="127"/>
        <v>4044529.60440115</v>
      </c>
      <c r="CS87" s="97">
        <f t="shared" si="128"/>
        <v>4261341.423495633</v>
      </c>
      <c r="CT87" s="97">
        <f t="shared" si="185"/>
        <v>3922074.7729427097</v>
      </c>
      <c r="CV87" s="97">
        <f ca="1" t="shared" si="129"/>
        <v>5877088.01036989</v>
      </c>
      <c r="CW87" s="97">
        <f ca="1" t="shared" si="186"/>
        <v>5506866.199729348</v>
      </c>
      <c r="CX87" s="97">
        <f ca="1" t="shared" si="187"/>
        <v>5506866.199729348</v>
      </c>
      <c r="CY87" s="97">
        <f ca="1" t="shared" si="188"/>
        <v>5152671.034250108</v>
      </c>
    </row>
    <row r="88" spans="2:103" ht="12.75">
      <c r="B88" s="14">
        <v>10231</v>
      </c>
      <c r="C88" s="15" t="s">
        <v>87</v>
      </c>
      <c r="D88" s="16">
        <f>RHWM!D75</f>
        <v>1</v>
      </c>
      <c r="E88" s="16">
        <f>RHWM!E75</f>
        <v>0</v>
      </c>
      <c r="F88" s="18">
        <f>RHWM!M75</f>
        <v>56.88</v>
      </c>
      <c r="G88" s="18">
        <f>RHWM!N75</f>
        <v>57.802</v>
      </c>
      <c r="H88" s="18">
        <f>RHWM!O75</f>
        <v>36.659</v>
      </c>
      <c r="I88" s="18">
        <f>MAX(F88-$H88,0)</f>
        <v>20.221000000000004</v>
      </c>
      <c r="J88" s="18">
        <f>MAX(G88-$H88,0)</f>
        <v>21.143</v>
      </c>
      <c r="K88" s="18">
        <v>0</v>
      </c>
      <c r="L88" s="18">
        <v>0</v>
      </c>
      <c r="M88" s="18">
        <f>I88</f>
        <v>20.221000000000004</v>
      </c>
      <c r="N88" s="18">
        <f>J88</f>
        <v>21.143</v>
      </c>
      <c r="O88" s="81">
        <f t="shared" si="130"/>
        <v>36.659</v>
      </c>
      <c r="P88" s="63">
        <f t="shared" si="131"/>
        <v>57.802</v>
      </c>
      <c r="Q88" s="63">
        <f t="shared" si="132"/>
        <v>36.659</v>
      </c>
      <c r="R88" s="63">
        <f t="shared" si="133"/>
        <v>21.143</v>
      </c>
      <c r="S88" s="63">
        <f t="shared" si="134"/>
        <v>0</v>
      </c>
      <c r="T88" s="67">
        <f t="shared" si="109"/>
        <v>44.61930222526234</v>
      </c>
      <c r="U88" s="138">
        <f ca="1" t="shared" si="110"/>
        <v>1.06</v>
      </c>
      <c r="V88" s="66">
        <f ca="1" t="shared" si="111"/>
        <v>61.270120000000006</v>
      </c>
      <c r="W88" s="66">
        <f ca="1" t="shared" si="135"/>
        <v>36.659</v>
      </c>
      <c r="X88" s="66">
        <f ca="1" t="shared" si="136"/>
        <v>24.611120000000007</v>
      </c>
      <c r="Y88" s="63">
        <f ca="1" t="shared" si="137"/>
        <v>0</v>
      </c>
      <c r="Z88" s="67">
        <f ca="1" t="shared" si="90"/>
        <v>46.24086771999559</v>
      </c>
      <c r="AA88" s="68">
        <f ca="1" t="shared" si="112"/>
        <v>0.036342242344954645</v>
      </c>
      <c r="AB88" s="169">
        <f t="shared" si="138"/>
        <v>36.659</v>
      </c>
      <c r="AC88" s="169">
        <f t="shared" si="139"/>
        <v>36.659</v>
      </c>
      <c r="AD88" s="169">
        <v>0.021</v>
      </c>
      <c r="AE88" s="171">
        <f t="shared" si="140"/>
        <v>0.0105</v>
      </c>
      <c r="AF88" s="182">
        <v>0</v>
      </c>
      <c r="AG88" s="182">
        <f t="shared" si="141"/>
        <v>0</v>
      </c>
      <c r="AH88" s="182">
        <f t="shared" si="142"/>
        <v>0</v>
      </c>
      <c r="AI88" s="182">
        <v>0</v>
      </c>
      <c r="AJ88" s="171">
        <f t="shared" si="143"/>
        <v>10.5715</v>
      </c>
      <c r="AK88" s="171">
        <f t="shared" si="144"/>
        <v>47.241</v>
      </c>
      <c r="AL88" s="171">
        <f t="shared" si="145"/>
        <v>3.014826956808147</v>
      </c>
      <c r="AM88" s="171">
        <f t="shared" si="146"/>
        <v>50.25582695680815</v>
      </c>
      <c r="AN88" s="81">
        <f t="shared" si="147"/>
        <v>50.25582695680815</v>
      </c>
      <c r="AO88" s="63">
        <f t="shared" si="148"/>
        <v>57.802</v>
      </c>
      <c r="AP88" s="63">
        <f t="shared" si="149"/>
        <v>50.25582695680815</v>
      </c>
      <c r="AQ88" s="63">
        <f t="shared" si="150"/>
        <v>7.54617304319185</v>
      </c>
      <c r="AR88" s="63">
        <f t="shared" si="151"/>
        <v>0</v>
      </c>
      <c r="AS88" s="67">
        <f t="shared" si="113"/>
        <v>39.17226244929942</v>
      </c>
      <c r="AT88" s="65">
        <f ca="1" t="shared" si="114"/>
        <v>1.06</v>
      </c>
      <c r="AU88" s="66">
        <f ca="1" t="shared" si="152"/>
        <v>61.270120000000006</v>
      </c>
      <c r="AV88" s="66">
        <f ca="1" t="shared" si="153"/>
        <v>50.25582695680815</v>
      </c>
      <c r="AW88" s="66">
        <f ca="1" t="shared" si="154"/>
        <v>11.014293043191856</v>
      </c>
      <c r="AX88" s="63">
        <f ca="1" t="shared" si="155"/>
        <v>0</v>
      </c>
      <c r="AY88" s="67">
        <f ca="1" t="shared" si="115"/>
        <v>41.187203433035855</v>
      </c>
      <c r="AZ88" s="65">
        <f ca="1" t="shared" si="156"/>
        <v>0.05143795271831375</v>
      </c>
      <c r="BA88" s="68">
        <f ca="1" t="shared" si="116"/>
        <v>-0.10928999683919038</v>
      </c>
      <c r="BB88" s="169">
        <f t="shared" si="157"/>
        <v>36.659</v>
      </c>
      <c r="BC88" s="169">
        <f t="shared" si="158"/>
        <v>36.659</v>
      </c>
      <c r="BD88" s="169">
        <v>0.021</v>
      </c>
      <c r="BE88" s="171">
        <f t="shared" si="159"/>
        <v>0.0105</v>
      </c>
      <c r="BF88" s="182">
        <v>0</v>
      </c>
      <c r="BG88" s="182">
        <f t="shared" si="160"/>
        <v>0</v>
      </c>
      <c r="BH88" s="182">
        <f t="shared" si="161"/>
        <v>0</v>
      </c>
      <c r="BI88" s="169">
        <f t="shared" si="162"/>
        <v>5.28575</v>
      </c>
      <c r="BJ88" s="171">
        <f t="shared" si="163"/>
        <v>41.95525</v>
      </c>
      <c r="BK88" s="171">
        <f t="shared" si="164"/>
        <v>0.8049694010798415</v>
      </c>
      <c r="BL88" s="171">
        <f t="shared" si="165"/>
        <v>42.760219401079844</v>
      </c>
      <c r="BM88" s="81">
        <f t="shared" si="166"/>
        <v>42.760219401079844</v>
      </c>
      <c r="BN88" s="63">
        <f t="shared" si="117"/>
        <v>57.802</v>
      </c>
      <c r="BO88" s="63">
        <f t="shared" si="167"/>
        <v>42.760219401079844</v>
      </c>
      <c r="BP88" s="63">
        <f t="shared" si="168"/>
        <v>15.041780598920155</v>
      </c>
      <c r="BQ88" s="63">
        <f t="shared" si="169"/>
        <v>0</v>
      </c>
      <c r="BR88" s="67">
        <f t="shared" si="170"/>
        <v>42.163011804090566</v>
      </c>
      <c r="BS88" s="69">
        <f ca="1" t="shared" si="118"/>
        <v>1.06</v>
      </c>
      <c r="BT88" s="66">
        <f ca="1" t="shared" si="171"/>
        <v>61.270120000000006</v>
      </c>
      <c r="BU88" s="66">
        <f ca="1" t="shared" si="172"/>
        <v>42.760219401079844</v>
      </c>
      <c r="BV88" s="66">
        <f ca="1" t="shared" si="173"/>
        <v>18.50990059892016</v>
      </c>
      <c r="BW88" s="63">
        <f ca="1" t="shared" si="174"/>
        <v>0</v>
      </c>
      <c r="BX88" s="67">
        <f ca="1" t="shared" si="119"/>
        <v>43.53562456818</v>
      </c>
      <c r="BY88" s="65">
        <f ca="1" t="shared" si="175"/>
        <v>0.03255490310956066</v>
      </c>
      <c r="BZ88" s="68">
        <f ca="1" t="shared" si="120"/>
        <v>-0.05850329557388012</v>
      </c>
      <c r="CA88" s="81">
        <f t="shared" si="176"/>
        <v>57.802</v>
      </c>
      <c r="CB88" s="63">
        <f t="shared" si="177"/>
        <v>57.802</v>
      </c>
      <c r="CC88" s="67">
        <f t="shared" si="178"/>
        <v>35.90132553133049</v>
      </c>
      <c r="CD88" s="69">
        <f ca="1" t="shared" si="121"/>
        <v>1.06</v>
      </c>
      <c r="CE88" s="190">
        <f ca="1" t="shared" si="179"/>
        <v>61.270120000000006</v>
      </c>
      <c r="CF88" s="70">
        <f ca="1" t="shared" si="180"/>
        <v>61.270120000000006</v>
      </c>
      <c r="CG88" s="67">
        <f ca="1" t="shared" si="181"/>
        <v>39.30481757441425</v>
      </c>
      <c r="CH88" s="65">
        <f ca="1" t="shared" si="182"/>
        <v>0.09480129194989151</v>
      </c>
      <c r="CI88" s="65">
        <f ca="1" t="shared" si="122"/>
        <v>-0.14999826966010932</v>
      </c>
      <c r="CJ88" s="68">
        <f ca="1" t="shared" si="183"/>
        <v>-0.09718034450476276</v>
      </c>
      <c r="CL88" s="97">
        <f ca="1" t="shared" si="123"/>
        <v>24818687.58358833</v>
      </c>
      <c r="CM88" s="97">
        <f ca="1" t="shared" si="124"/>
        <v>22106253.296025105</v>
      </c>
      <c r="CN88" s="97">
        <f ca="1" t="shared" si="125"/>
        <v>23366712.56812987</v>
      </c>
      <c r="CO88" s="97">
        <f ca="1" t="shared" si="184"/>
        <v>21095927.39081524</v>
      </c>
      <c r="CQ88" s="97">
        <f t="shared" si="126"/>
        <v>22592783.787287608</v>
      </c>
      <c r="CR88" s="97">
        <f t="shared" si="127"/>
        <v>19834699.599466983</v>
      </c>
      <c r="CS88" s="97">
        <f t="shared" si="128"/>
        <v>21349052.136708375</v>
      </c>
      <c r="CT88" s="97">
        <f t="shared" si="185"/>
        <v>18178475.344850816</v>
      </c>
      <c r="CV88" s="97">
        <f ca="1" t="shared" si="129"/>
        <v>24818687.58358833</v>
      </c>
      <c r="CW88" s="97">
        <f ca="1" t="shared" si="186"/>
        <v>22106253.29602511</v>
      </c>
      <c r="CX88" s="97">
        <f ca="1" t="shared" si="187"/>
        <v>22106253.29602511</v>
      </c>
      <c r="CY88" s="97">
        <f ca="1" t="shared" si="188"/>
        <v>21095927.39081524</v>
      </c>
    </row>
    <row r="89" spans="2:103" ht="12.75">
      <c r="B89" s="14">
        <v>10234</v>
      </c>
      <c r="C89" s="15" t="s">
        <v>88</v>
      </c>
      <c r="D89" s="16">
        <f>RHWM!D76</f>
        <v>1</v>
      </c>
      <c r="E89" s="16">
        <f>RHWM!E76</f>
        <v>0</v>
      </c>
      <c r="F89" s="18">
        <f>RHWM!M76</f>
        <v>70.899</v>
      </c>
      <c r="G89" s="18">
        <f>RHWM!N76</f>
        <v>73.045</v>
      </c>
      <c r="H89" s="18">
        <f>RHWM!O76</f>
        <v>50.999</v>
      </c>
      <c r="I89" s="18">
        <f>MAX(F89-$H89,0)</f>
        <v>19.9</v>
      </c>
      <c r="J89" s="18">
        <f>MAX(G89-$H89,0)</f>
        <v>22.046</v>
      </c>
      <c r="K89" s="18">
        <v>0</v>
      </c>
      <c r="L89" s="18">
        <v>0</v>
      </c>
      <c r="M89" s="18">
        <f>I89</f>
        <v>19.9</v>
      </c>
      <c r="N89" s="18">
        <f>J89</f>
        <v>22.046</v>
      </c>
      <c r="O89" s="81">
        <f t="shared" si="130"/>
        <v>50.999</v>
      </c>
      <c r="P89" s="63">
        <f t="shared" si="131"/>
        <v>73.045</v>
      </c>
      <c r="Q89" s="63">
        <f t="shared" si="132"/>
        <v>50.999</v>
      </c>
      <c r="R89" s="63">
        <f t="shared" si="133"/>
        <v>22.046</v>
      </c>
      <c r="S89" s="63">
        <f t="shared" si="134"/>
        <v>0</v>
      </c>
      <c r="T89" s="67">
        <f t="shared" si="109"/>
        <v>42.75325961962292</v>
      </c>
      <c r="U89" s="138">
        <f ca="1" t="shared" si="110"/>
        <v>1.05</v>
      </c>
      <c r="V89" s="66">
        <f ca="1" t="shared" si="111"/>
        <v>76.69725000000001</v>
      </c>
      <c r="W89" s="66">
        <f ca="1" t="shared" si="135"/>
        <v>50.999</v>
      </c>
      <c r="X89" s="66">
        <f ca="1" t="shared" si="136"/>
        <v>25.69825000000001</v>
      </c>
      <c r="Y89" s="63">
        <f ca="1" t="shared" si="137"/>
        <v>0</v>
      </c>
      <c r="Z89" s="67">
        <f ca="1" t="shared" si="90"/>
        <v>44.36141387070403</v>
      </c>
      <c r="AA89" s="68">
        <f ca="1" t="shared" si="112"/>
        <v>0.03761477523325474</v>
      </c>
      <c r="AB89" s="169">
        <f t="shared" si="138"/>
        <v>50.999</v>
      </c>
      <c r="AC89" s="169">
        <f t="shared" si="139"/>
        <v>50.999</v>
      </c>
      <c r="AD89" s="169">
        <v>0.27349999999999997</v>
      </c>
      <c r="AE89" s="171">
        <f t="shared" si="140"/>
        <v>0.13674999999999998</v>
      </c>
      <c r="AF89" s="182">
        <v>0</v>
      </c>
      <c r="AG89" s="182">
        <f t="shared" si="141"/>
        <v>0</v>
      </c>
      <c r="AH89" s="182">
        <f t="shared" si="142"/>
        <v>0</v>
      </c>
      <c r="AI89" s="182">
        <v>0</v>
      </c>
      <c r="AJ89" s="171">
        <f t="shared" si="143"/>
        <v>11.023</v>
      </c>
      <c r="AK89" s="171">
        <f t="shared" si="144"/>
        <v>62.15875</v>
      </c>
      <c r="AL89" s="171">
        <f t="shared" si="145"/>
        <v>3.966848184871159</v>
      </c>
      <c r="AM89" s="171">
        <f t="shared" si="146"/>
        <v>66.12559818487115</v>
      </c>
      <c r="AN89" s="81">
        <f t="shared" si="147"/>
        <v>66.12559818487115</v>
      </c>
      <c r="AO89" s="63">
        <f t="shared" si="148"/>
        <v>73.045</v>
      </c>
      <c r="AP89" s="63">
        <f t="shared" si="149"/>
        <v>66.12559818487115</v>
      </c>
      <c r="AQ89" s="63">
        <f t="shared" si="150"/>
        <v>6.91940181512885</v>
      </c>
      <c r="AR89" s="63">
        <f t="shared" si="151"/>
        <v>0</v>
      </c>
      <c r="AS89" s="67">
        <f t="shared" si="113"/>
        <v>38.18553511681871</v>
      </c>
      <c r="AT89" s="65">
        <f ca="1" t="shared" si="114"/>
        <v>1.05</v>
      </c>
      <c r="AU89" s="66">
        <f ca="1" t="shared" si="152"/>
        <v>76.69725000000001</v>
      </c>
      <c r="AV89" s="66">
        <f ca="1" t="shared" si="153"/>
        <v>66.12559818487115</v>
      </c>
      <c r="AW89" s="66">
        <f ca="1" t="shared" si="154"/>
        <v>10.57165181512886</v>
      </c>
      <c r="AX89" s="63">
        <f ca="1" t="shared" si="155"/>
        <v>0</v>
      </c>
      <c r="AY89" s="67">
        <f ca="1" t="shared" si="115"/>
        <v>40.06600795511202</v>
      </c>
      <c r="AZ89" s="65">
        <f ca="1" t="shared" si="156"/>
        <v>0.04924568511454641</v>
      </c>
      <c r="BA89" s="68">
        <f ca="1" t="shared" si="116"/>
        <v>-0.09682752511250914</v>
      </c>
      <c r="BB89" s="169">
        <f t="shared" si="157"/>
        <v>50.999</v>
      </c>
      <c r="BC89" s="169">
        <f t="shared" si="158"/>
        <v>50.999</v>
      </c>
      <c r="BD89" s="169">
        <v>0.27349999999999997</v>
      </c>
      <c r="BE89" s="171">
        <f t="shared" si="159"/>
        <v>0.13674999999999998</v>
      </c>
      <c r="BF89" s="182">
        <v>0</v>
      </c>
      <c r="BG89" s="182">
        <f t="shared" si="160"/>
        <v>0</v>
      </c>
      <c r="BH89" s="182">
        <f t="shared" si="161"/>
        <v>0</v>
      </c>
      <c r="BI89" s="169">
        <f t="shared" si="162"/>
        <v>5.5115</v>
      </c>
      <c r="BJ89" s="171">
        <f t="shared" si="163"/>
        <v>56.64725</v>
      </c>
      <c r="BK89" s="171">
        <f t="shared" si="164"/>
        <v>1.0868557071003047</v>
      </c>
      <c r="BL89" s="171">
        <f t="shared" si="165"/>
        <v>57.734105707100305</v>
      </c>
      <c r="BM89" s="81">
        <f t="shared" si="166"/>
        <v>57.734105707100305</v>
      </c>
      <c r="BN89" s="63">
        <f t="shared" si="117"/>
        <v>73.045</v>
      </c>
      <c r="BO89" s="63">
        <f t="shared" si="167"/>
        <v>57.734105707100305</v>
      </c>
      <c r="BP89" s="63">
        <f t="shared" si="168"/>
        <v>15.310894292899697</v>
      </c>
      <c r="BQ89" s="63">
        <f t="shared" si="169"/>
        <v>0</v>
      </c>
      <c r="BR89" s="67">
        <f t="shared" si="170"/>
        <v>40.72898612017983</v>
      </c>
      <c r="BS89" s="69">
        <f ca="1" t="shared" si="118"/>
        <v>1.05</v>
      </c>
      <c r="BT89" s="66">
        <f ca="1" t="shared" si="171"/>
        <v>76.69725000000001</v>
      </c>
      <c r="BU89" s="66">
        <f ca="1" t="shared" si="172"/>
        <v>57.734105707100305</v>
      </c>
      <c r="BV89" s="66">
        <f ca="1" t="shared" si="173"/>
        <v>18.963144292899706</v>
      </c>
      <c r="BW89" s="63">
        <f ca="1" t="shared" si="174"/>
        <v>0</v>
      </c>
      <c r="BX89" s="67">
        <f ca="1" t="shared" si="119"/>
        <v>41.99624204378263</v>
      </c>
      <c r="BY89" s="65">
        <f ca="1" t="shared" si="175"/>
        <v>0.031114349860403623</v>
      </c>
      <c r="BZ89" s="68">
        <f ca="1" t="shared" si="120"/>
        <v>-0.053315970356917375</v>
      </c>
      <c r="CA89" s="81">
        <f t="shared" si="176"/>
        <v>73.045</v>
      </c>
      <c r="CB89" s="63">
        <f t="shared" si="177"/>
        <v>73.045</v>
      </c>
      <c r="CC89" s="67">
        <f t="shared" si="178"/>
        <v>35.90132553133049</v>
      </c>
      <c r="CD89" s="69">
        <f ca="1" t="shared" si="121"/>
        <v>1.05</v>
      </c>
      <c r="CE89" s="190">
        <f ca="1" t="shared" si="179"/>
        <v>76.69725000000001</v>
      </c>
      <c r="CF89" s="70">
        <f ca="1" t="shared" si="180"/>
        <v>76.69725000000001</v>
      </c>
      <c r="CG89" s="67">
        <f ca="1" t="shared" si="181"/>
        <v>39.30481757441425</v>
      </c>
      <c r="CH89" s="65">
        <f ca="1" t="shared" si="182"/>
        <v>0.09480129194989151</v>
      </c>
      <c r="CI89" s="65">
        <f ca="1" t="shared" si="122"/>
        <v>-0.11398636461470213</v>
      </c>
      <c r="CJ89" s="68">
        <f ca="1" t="shared" si="183"/>
        <v>-0.06408726920286034</v>
      </c>
      <c r="CL89" s="97">
        <f ca="1" t="shared" si="123"/>
        <v>29805010.421954926</v>
      </c>
      <c r="CM89" s="97">
        <f ca="1" t="shared" si="124"/>
        <v>26919065.02684449</v>
      </c>
      <c r="CN89" s="97">
        <f ca="1" t="shared" si="125"/>
        <v>28215927.369810365</v>
      </c>
      <c r="CO89" s="97">
        <f ca="1" t="shared" si="184"/>
        <v>26407645.636652976</v>
      </c>
      <c r="CQ89" s="97">
        <f t="shared" si="126"/>
        <v>27356707.796498522</v>
      </c>
      <c r="CR89" s="97">
        <f t="shared" si="127"/>
        <v>24433938.73444628</v>
      </c>
      <c r="CS89" s="97">
        <f t="shared" si="128"/>
        <v>26061427.410461172</v>
      </c>
      <c r="CT89" s="97">
        <f t="shared" si="185"/>
        <v>22972331.953299675</v>
      </c>
      <c r="CV89" s="97">
        <f ca="1" t="shared" si="129"/>
        <v>29805010.42195493</v>
      </c>
      <c r="CW89" s="97">
        <f ca="1" t="shared" si="186"/>
        <v>26919065.02684449</v>
      </c>
      <c r="CX89" s="97">
        <f ca="1" t="shared" si="187"/>
        <v>26919065.02684449</v>
      </c>
      <c r="CY89" s="97">
        <f ca="1" t="shared" si="188"/>
        <v>26407645.636652976</v>
      </c>
    </row>
    <row r="90" spans="2:103" ht="12.75">
      <c r="B90" s="14">
        <v>10235</v>
      </c>
      <c r="C90" s="15" t="s">
        <v>89</v>
      </c>
      <c r="D90" s="16">
        <f>RHWM!D77</f>
        <v>1</v>
      </c>
      <c r="E90" s="16">
        <f>RHWM!E77</f>
        <v>0</v>
      </c>
      <c r="F90" s="18">
        <f>RHWM!M77</f>
        <v>30.236</v>
      </c>
      <c r="G90" s="18">
        <f>RHWM!N77</f>
        <v>30.275</v>
      </c>
      <c r="H90" s="18">
        <f>RHWM!O77</f>
        <v>33.113</v>
      </c>
      <c r="I90" s="18">
        <v>0</v>
      </c>
      <c r="J90" s="18">
        <v>0</v>
      </c>
      <c r="K90" s="18">
        <v>0</v>
      </c>
      <c r="L90" s="18">
        <v>0</v>
      </c>
      <c r="M90" s="18">
        <v>0</v>
      </c>
      <c r="N90" s="18">
        <v>0</v>
      </c>
      <c r="O90" s="81">
        <f t="shared" si="130"/>
        <v>33.113</v>
      </c>
      <c r="P90" s="63">
        <f t="shared" si="131"/>
        <v>30.275</v>
      </c>
      <c r="Q90" s="63">
        <f t="shared" si="132"/>
        <v>30.275</v>
      </c>
      <c r="R90" s="63">
        <f t="shared" si="133"/>
        <v>0</v>
      </c>
      <c r="S90" s="63">
        <f t="shared" si="134"/>
        <v>2.838000000000001</v>
      </c>
      <c r="T90" s="67">
        <f t="shared" si="109"/>
        <v>33.949064274110405</v>
      </c>
      <c r="U90" s="138">
        <f ca="1" t="shared" si="110"/>
        <v>1.22</v>
      </c>
      <c r="V90" s="66">
        <f ca="1" t="shared" si="111"/>
        <v>36.9355</v>
      </c>
      <c r="W90" s="66">
        <f ca="1" t="shared" si="135"/>
        <v>33.113</v>
      </c>
      <c r="X90" s="66">
        <f ca="1" t="shared" si="136"/>
        <v>3.822499999999998</v>
      </c>
      <c r="Y90" s="63">
        <f ca="1" t="shared" si="137"/>
        <v>0</v>
      </c>
      <c r="Z90" s="67">
        <f ca="1" t="shared" si="90"/>
        <v>37.828605237858135</v>
      </c>
      <c r="AA90" s="68">
        <f ca="1" t="shared" si="112"/>
        <v>0.11427534297922515</v>
      </c>
      <c r="AB90" s="169">
        <f t="shared" si="138"/>
        <v>30.275</v>
      </c>
      <c r="AC90" s="169">
        <f t="shared" si="139"/>
        <v>30.275</v>
      </c>
      <c r="AD90" s="169">
        <v>0</v>
      </c>
      <c r="AE90" s="171">
        <f t="shared" si="140"/>
        <v>0</v>
      </c>
      <c r="AF90" s="182">
        <v>0</v>
      </c>
      <c r="AG90" s="182">
        <f t="shared" si="141"/>
        <v>0</v>
      </c>
      <c r="AH90" s="182">
        <f t="shared" si="142"/>
        <v>0</v>
      </c>
      <c r="AI90" s="182">
        <v>0</v>
      </c>
      <c r="AJ90" s="171">
        <f t="shared" si="143"/>
        <v>0</v>
      </c>
      <c r="AK90" s="171">
        <f t="shared" si="144"/>
        <v>30.275</v>
      </c>
      <c r="AL90" s="171">
        <f t="shared" si="145"/>
        <v>1.93209047474369</v>
      </c>
      <c r="AM90" s="171">
        <f t="shared" si="146"/>
        <v>32.20709047474369</v>
      </c>
      <c r="AN90" s="81">
        <f t="shared" si="147"/>
        <v>32.20709047474369</v>
      </c>
      <c r="AO90" s="63">
        <f t="shared" si="148"/>
        <v>30.275</v>
      </c>
      <c r="AP90" s="63">
        <f t="shared" si="149"/>
        <v>30.275</v>
      </c>
      <c r="AQ90" s="63">
        <f t="shared" si="150"/>
        <v>0</v>
      </c>
      <c r="AR90" s="63">
        <f t="shared" si="151"/>
        <v>1.9320904747436884</v>
      </c>
      <c r="AS90" s="67">
        <f t="shared" si="113"/>
        <v>35.5763854636149</v>
      </c>
      <c r="AT90" s="65">
        <f ca="1" t="shared" si="114"/>
        <v>1.22</v>
      </c>
      <c r="AU90" s="66">
        <f ca="1" t="shared" si="152"/>
        <v>36.9355</v>
      </c>
      <c r="AV90" s="66">
        <f ca="1" t="shared" si="153"/>
        <v>32.20709047474369</v>
      </c>
      <c r="AW90" s="66">
        <f ca="1" t="shared" si="154"/>
        <v>4.7284095252563105</v>
      </c>
      <c r="AX90" s="63">
        <f ca="1" t="shared" si="155"/>
        <v>0</v>
      </c>
      <c r="AY90" s="67">
        <f ca="1" t="shared" si="115"/>
        <v>39.80347483667665</v>
      </c>
      <c r="AZ90" s="65">
        <f ca="1" t="shared" si="156"/>
        <v>0.11881728056339314</v>
      </c>
      <c r="BA90" s="68">
        <f ca="1" t="shared" si="116"/>
        <v>0.05220572068150431</v>
      </c>
      <c r="BB90" s="169">
        <f t="shared" si="157"/>
        <v>30.275</v>
      </c>
      <c r="BC90" s="169">
        <f t="shared" si="158"/>
        <v>30.275</v>
      </c>
      <c r="BD90" s="169">
        <v>0</v>
      </c>
      <c r="BE90" s="171">
        <f t="shared" si="159"/>
        <v>0</v>
      </c>
      <c r="BF90" s="182">
        <v>0</v>
      </c>
      <c r="BG90" s="182">
        <f t="shared" si="160"/>
        <v>0</v>
      </c>
      <c r="BH90" s="182">
        <f t="shared" si="161"/>
        <v>0</v>
      </c>
      <c r="BI90" s="169">
        <f t="shared" si="162"/>
        <v>0</v>
      </c>
      <c r="BJ90" s="171">
        <f t="shared" si="163"/>
        <v>30.275</v>
      </c>
      <c r="BK90" s="171">
        <f t="shared" si="164"/>
        <v>0.5808676772916905</v>
      </c>
      <c r="BL90" s="171">
        <f t="shared" si="165"/>
        <v>30.855867677291688</v>
      </c>
      <c r="BM90" s="81">
        <f t="shared" si="166"/>
        <v>30.855867677291688</v>
      </c>
      <c r="BN90" s="63">
        <f t="shared" si="117"/>
        <v>30.275</v>
      </c>
      <c r="BO90" s="63">
        <f t="shared" si="167"/>
        <v>30.275</v>
      </c>
      <c r="BP90" s="63">
        <f t="shared" si="168"/>
        <v>0</v>
      </c>
      <c r="BQ90" s="63">
        <f t="shared" si="169"/>
        <v>0.580867677291689</v>
      </c>
      <c r="BR90" s="67">
        <f t="shared" si="170"/>
        <v>34.790963136607154</v>
      </c>
      <c r="BS90" s="69">
        <f ca="1" t="shared" si="118"/>
        <v>1.22</v>
      </c>
      <c r="BT90" s="66">
        <f ca="1" t="shared" si="171"/>
        <v>36.9355</v>
      </c>
      <c r="BU90" s="66">
        <f ca="1" t="shared" si="172"/>
        <v>30.855867677291688</v>
      </c>
      <c r="BV90" s="66">
        <f ca="1" t="shared" si="173"/>
        <v>6.07963232270831</v>
      </c>
      <c r="BW90" s="63">
        <f ca="1" t="shared" si="174"/>
        <v>0</v>
      </c>
      <c r="BX90" s="67">
        <f ca="1" t="shared" si="119"/>
        <v>39.67704721233205</v>
      </c>
      <c r="BY90" s="65">
        <f ca="1" t="shared" si="175"/>
        <v>0.14044118458404342</v>
      </c>
      <c r="BZ90" s="68">
        <f ca="1" t="shared" si="120"/>
        <v>0.0488636036896235</v>
      </c>
      <c r="CA90" s="81">
        <f t="shared" si="176"/>
        <v>30.275</v>
      </c>
      <c r="CB90" s="63">
        <f t="shared" si="177"/>
        <v>30.275</v>
      </c>
      <c r="CC90" s="67">
        <f t="shared" si="178"/>
        <v>35.90132553133049</v>
      </c>
      <c r="CD90" s="69">
        <f ca="1" t="shared" si="121"/>
        <v>1.22</v>
      </c>
      <c r="CE90" s="190">
        <f ca="1" t="shared" si="179"/>
        <v>36.9355</v>
      </c>
      <c r="CF90" s="70">
        <f ca="1" t="shared" si="180"/>
        <v>36.9355</v>
      </c>
      <c r="CG90" s="67">
        <f ca="1" t="shared" si="181"/>
        <v>39.30481757441425</v>
      </c>
      <c r="CH90" s="65">
        <f ca="1" t="shared" si="182"/>
        <v>0.09480129194989151</v>
      </c>
      <c r="CI90" s="65">
        <f ca="1" t="shared" si="122"/>
        <v>0.0390237051372635</v>
      </c>
      <c r="CJ90" s="68">
        <f ca="1" t="shared" si="183"/>
        <v>-0.009381485369256648</v>
      </c>
      <c r="CL90" s="97">
        <f ca="1" t="shared" si="123"/>
        <v>12239633.611163083</v>
      </c>
      <c r="CM90" s="97">
        <f ca="1" t="shared" si="124"/>
        <v>12878612.504711416</v>
      </c>
      <c r="CN90" s="97">
        <f ca="1" t="shared" si="125"/>
        <v>12837706.21724515</v>
      </c>
      <c r="CO90" s="97">
        <f ca="1" t="shared" si="184"/>
        <v>12717269.464193251</v>
      </c>
      <c r="CQ90" s="97">
        <f t="shared" si="126"/>
        <v>9003597.387072546</v>
      </c>
      <c r="CR90" s="97">
        <f t="shared" si="127"/>
        <v>9435177.612419844</v>
      </c>
      <c r="CS90" s="97">
        <f t="shared" si="128"/>
        <v>9226876.542496447</v>
      </c>
      <c r="CT90" s="97">
        <f t="shared" si="185"/>
        <v>9521354.642838629</v>
      </c>
      <c r="CV90" s="97">
        <f ca="1" t="shared" si="129"/>
        <v>12239633.611163082</v>
      </c>
      <c r="CW90" s="97">
        <f ca="1" t="shared" si="186"/>
        <v>12878612.504711416</v>
      </c>
      <c r="CX90" s="97">
        <f ca="1" t="shared" si="187"/>
        <v>12878612.504711416</v>
      </c>
      <c r="CY90" s="97">
        <f ca="1" t="shared" si="188"/>
        <v>12717269.464193251</v>
      </c>
    </row>
    <row r="91" spans="2:103" ht="12.75">
      <c r="B91" s="14">
        <v>10236</v>
      </c>
      <c r="C91" s="15" t="s">
        <v>90</v>
      </c>
      <c r="D91" s="16">
        <f>RHWM!D78</f>
        <v>0</v>
      </c>
      <c r="E91" s="16">
        <f>RHWM!E78</f>
        <v>1</v>
      </c>
      <c r="F91" s="18">
        <f>RHWM!M78</f>
        <v>28.073</v>
      </c>
      <c r="G91" s="18">
        <f>RHWM!N78</f>
        <v>28.056</v>
      </c>
      <c r="H91" s="18">
        <f>RHWM!O78</f>
        <v>29.103</v>
      </c>
      <c r="I91" s="18">
        <v>0</v>
      </c>
      <c r="J91" s="18">
        <v>0</v>
      </c>
      <c r="K91" s="18">
        <v>0</v>
      </c>
      <c r="L91" s="18">
        <v>0</v>
      </c>
      <c r="M91" s="18">
        <v>0</v>
      </c>
      <c r="N91" s="18">
        <v>0</v>
      </c>
      <c r="O91" s="81">
        <f t="shared" si="130"/>
        <v>29.103</v>
      </c>
      <c r="P91" s="63">
        <f t="shared" si="131"/>
        <v>28.056</v>
      </c>
      <c r="Q91" s="63">
        <f t="shared" si="132"/>
        <v>28.056</v>
      </c>
      <c r="R91" s="63">
        <f t="shared" si="133"/>
        <v>0</v>
      </c>
      <c r="S91" s="63">
        <f t="shared" si="134"/>
        <v>1.0470000000000006</v>
      </c>
      <c r="T91" s="67">
        <f t="shared" si="109"/>
        <v>33.949064274110405</v>
      </c>
      <c r="U91" s="138">
        <f ca="1" t="shared" si="110"/>
        <v>1.09</v>
      </c>
      <c r="V91" s="66">
        <f ca="1" t="shared" si="111"/>
        <v>30.58104</v>
      </c>
      <c r="W91" s="66">
        <f ca="1" t="shared" si="135"/>
        <v>29.103</v>
      </c>
      <c r="X91" s="66">
        <f ca="1" t="shared" si="136"/>
        <v>1.47804</v>
      </c>
      <c r="Y91" s="63">
        <f ca="1" t="shared" si="137"/>
        <v>0</v>
      </c>
      <c r="Z91" s="67">
        <f ca="1" t="shared" si="90"/>
        <v>36.27250672855366</v>
      </c>
      <c r="AA91" s="68">
        <f ca="1" t="shared" si="112"/>
        <v>0.06843907200750476</v>
      </c>
      <c r="AB91" s="169">
        <f t="shared" si="138"/>
        <v>28.056</v>
      </c>
      <c r="AC91" s="169">
        <f t="shared" si="139"/>
        <v>28.056</v>
      </c>
      <c r="AD91" s="169">
        <v>0</v>
      </c>
      <c r="AE91" s="171">
        <f t="shared" si="140"/>
        <v>0</v>
      </c>
      <c r="AF91" s="182">
        <v>0</v>
      </c>
      <c r="AG91" s="182">
        <f t="shared" si="141"/>
        <v>0</v>
      </c>
      <c r="AH91" s="182">
        <f t="shared" si="142"/>
        <v>0</v>
      </c>
      <c r="AI91" s="182">
        <v>0.1324200913242009</v>
      </c>
      <c r="AJ91" s="171">
        <f t="shared" si="143"/>
        <v>0</v>
      </c>
      <c r="AK91" s="171">
        <f t="shared" si="144"/>
        <v>28.056</v>
      </c>
      <c r="AL91" s="171">
        <f t="shared" si="145"/>
        <v>1.7904782942827073</v>
      </c>
      <c r="AM91" s="171">
        <f t="shared" si="146"/>
        <v>29.846478294282708</v>
      </c>
      <c r="AN91" s="81">
        <f t="shared" si="147"/>
        <v>29.846478294282708</v>
      </c>
      <c r="AO91" s="63">
        <f t="shared" si="148"/>
        <v>28.056</v>
      </c>
      <c r="AP91" s="63">
        <f t="shared" si="149"/>
        <v>28.056</v>
      </c>
      <c r="AQ91" s="63">
        <f t="shared" si="150"/>
        <v>0</v>
      </c>
      <c r="AR91" s="63">
        <f t="shared" si="151"/>
        <v>1.7904782942827069</v>
      </c>
      <c r="AS91" s="67">
        <f t="shared" si="113"/>
        <v>35.5763854636149</v>
      </c>
      <c r="AT91" s="65">
        <f ca="1" t="shared" si="114"/>
        <v>1.09</v>
      </c>
      <c r="AU91" s="66">
        <f ca="1" t="shared" si="152"/>
        <v>30.58104</v>
      </c>
      <c r="AV91" s="66">
        <f ca="1" t="shared" si="153"/>
        <v>29.846478294282708</v>
      </c>
      <c r="AW91" s="66">
        <f ca="1" t="shared" si="154"/>
        <v>0.7345617057172937</v>
      </c>
      <c r="AX91" s="63">
        <f ca="1" t="shared" si="155"/>
        <v>0</v>
      </c>
      <c r="AY91" s="67">
        <f ca="1" t="shared" si="115"/>
        <v>37.02260486306927</v>
      </c>
      <c r="AZ91" s="65">
        <f ca="1" t="shared" si="156"/>
        <v>0.04065110551867246</v>
      </c>
      <c r="BA91" s="68">
        <f ca="1" t="shared" si="116"/>
        <v>0.02067952292707509</v>
      </c>
      <c r="BB91" s="169">
        <f t="shared" si="157"/>
        <v>28.056</v>
      </c>
      <c r="BC91" s="169">
        <f t="shared" si="158"/>
        <v>28.056</v>
      </c>
      <c r="BD91" s="169">
        <v>0</v>
      </c>
      <c r="BE91" s="171">
        <f t="shared" si="159"/>
        <v>0</v>
      </c>
      <c r="BF91" s="182">
        <v>0</v>
      </c>
      <c r="BG91" s="182">
        <f t="shared" si="160"/>
        <v>0</v>
      </c>
      <c r="BH91" s="182">
        <f t="shared" si="161"/>
        <v>0</v>
      </c>
      <c r="BI91" s="169">
        <f t="shared" si="162"/>
        <v>0</v>
      </c>
      <c r="BJ91" s="171">
        <f t="shared" si="163"/>
        <v>28.056</v>
      </c>
      <c r="BK91" s="171">
        <f t="shared" si="164"/>
        <v>0.5382930984011783</v>
      </c>
      <c r="BL91" s="171">
        <f t="shared" si="165"/>
        <v>28.59429309840118</v>
      </c>
      <c r="BM91" s="81">
        <f t="shared" si="166"/>
        <v>28.59429309840118</v>
      </c>
      <c r="BN91" s="63">
        <f t="shared" si="117"/>
        <v>28.056</v>
      </c>
      <c r="BO91" s="63">
        <f t="shared" si="167"/>
        <v>28.056</v>
      </c>
      <c r="BP91" s="63">
        <f t="shared" si="168"/>
        <v>0</v>
      </c>
      <c r="BQ91" s="63">
        <f t="shared" si="169"/>
        <v>0.53829309840118</v>
      </c>
      <c r="BR91" s="67">
        <f t="shared" si="170"/>
        <v>34.790963136607154</v>
      </c>
      <c r="BS91" s="69">
        <f ca="1" t="shared" si="118"/>
        <v>1.09</v>
      </c>
      <c r="BT91" s="66">
        <f ca="1" t="shared" si="171"/>
        <v>30.58104</v>
      </c>
      <c r="BU91" s="66">
        <f ca="1" t="shared" si="172"/>
        <v>28.59429309840118</v>
      </c>
      <c r="BV91" s="66">
        <f ca="1" t="shared" si="173"/>
        <v>1.9867469015988206</v>
      </c>
      <c r="BW91" s="63">
        <f ca="1" t="shared" si="174"/>
        <v>0</v>
      </c>
      <c r="BX91" s="67">
        <f ca="1" t="shared" si="119"/>
        <v>36.88109871472027</v>
      </c>
      <c r="BY91" s="65">
        <f ca="1" t="shared" si="175"/>
        <v>0.06007696797315343</v>
      </c>
      <c r="BZ91" s="68">
        <f ca="1" t="shared" si="120"/>
        <v>0.016778327197539022</v>
      </c>
      <c r="CA91" s="81">
        <f t="shared" si="176"/>
        <v>28.056</v>
      </c>
      <c r="CB91" s="63">
        <f t="shared" si="177"/>
        <v>28.056</v>
      </c>
      <c r="CC91" s="67">
        <f t="shared" si="178"/>
        <v>35.90132553133049</v>
      </c>
      <c r="CD91" s="69">
        <f ca="1" t="shared" si="121"/>
        <v>1.09</v>
      </c>
      <c r="CE91" s="190">
        <f ca="1" t="shared" si="179"/>
        <v>30.58104</v>
      </c>
      <c r="CF91" s="70">
        <f ca="1" t="shared" si="180"/>
        <v>30.58104</v>
      </c>
      <c r="CG91" s="67">
        <f ca="1" t="shared" si="181"/>
        <v>39.30481757441425</v>
      </c>
      <c r="CH91" s="65">
        <f ca="1" t="shared" si="182"/>
        <v>0.09480129194989151</v>
      </c>
      <c r="CI91" s="65">
        <f ca="1" t="shared" si="122"/>
        <v>0.08359805040641333</v>
      </c>
      <c r="CJ91" s="68">
        <f ca="1" t="shared" si="183"/>
        <v>0.06571710019925758</v>
      </c>
      <c r="CL91" s="97">
        <f ca="1" t="shared" si="123"/>
        <v>9717038.57749564</v>
      </c>
      <c r="CM91" s="97">
        <f ca="1" t="shared" si="124"/>
        <v>9917982.299542231</v>
      </c>
      <c r="CN91" s="97">
        <f ca="1" t="shared" si="125"/>
        <v>9880074.230139969</v>
      </c>
      <c r="CO91" s="97">
        <f ca="1" t="shared" si="184"/>
        <v>10529364.05829818</v>
      </c>
      <c r="CQ91" s="97">
        <f t="shared" si="126"/>
        <v>8343680.538124108</v>
      </c>
      <c r="CR91" s="97">
        <f t="shared" si="127"/>
        <v>8743628.178168492</v>
      </c>
      <c r="CS91" s="97">
        <f t="shared" si="128"/>
        <v>8550594.493023297</v>
      </c>
      <c r="CT91" s="97">
        <f t="shared" si="185"/>
        <v>8823488.880577393</v>
      </c>
      <c r="CV91" s="97">
        <f ca="1" t="shared" si="129"/>
        <v>9717038.577495636</v>
      </c>
      <c r="CW91" s="97">
        <f ca="1" t="shared" si="186"/>
        <v>9917982.299542231</v>
      </c>
      <c r="CX91" s="97">
        <f ca="1" t="shared" si="187"/>
        <v>9917982.299542231</v>
      </c>
      <c r="CY91" s="97">
        <f ca="1" t="shared" si="188"/>
        <v>10529364.05829818</v>
      </c>
    </row>
    <row r="92" spans="2:103" ht="12.75">
      <c r="B92" s="14">
        <v>10237</v>
      </c>
      <c r="C92" s="15" t="s">
        <v>91</v>
      </c>
      <c r="D92" s="16">
        <f>RHWM!D79</f>
        <v>1</v>
      </c>
      <c r="E92" s="16">
        <f>RHWM!E79</f>
        <v>0</v>
      </c>
      <c r="F92" s="18">
        <f>RHWM!M79</f>
        <v>116.458</v>
      </c>
      <c r="G92" s="18">
        <f>RHWM!N79</f>
        <v>117.458</v>
      </c>
      <c r="H92" s="18">
        <f>RHWM!O79</f>
        <v>113.732</v>
      </c>
      <c r="I92" s="18">
        <f>MAX(F92-$H92,0)</f>
        <v>2.725999999999999</v>
      </c>
      <c r="J92" s="18">
        <f>MAX(G92-$H92,0)</f>
        <v>3.725999999999999</v>
      </c>
      <c r="K92" s="18">
        <v>0</v>
      </c>
      <c r="L92" s="18">
        <v>0</v>
      </c>
      <c r="M92" s="18">
        <f>I92</f>
        <v>2.725999999999999</v>
      </c>
      <c r="N92" s="18">
        <f>J92</f>
        <v>3.725999999999999</v>
      </c>
      <c r="O92" s="81">
        <f t="shared" si="130"/>
        <v>113.732</v>
      </c>
      <c r="P92" s="63">
        <f t="shared" si="131"/>
        <v>117.458</v>
      </c>
      <c r="Q92" s="63">
        <f t="shared" si="132"/>
        <v>113.732</v>
      </c>
      <c r="R92" s="63">
        <f t="shared" si="133"/>
        <v>3.725999999999999</v>
      </c>
      <c r="S92" s="63">
        <f t="shared" si="134"/>
        <v>0</v>
      </c>
      <c r="T92" s="67">
        <f t="shared" si="109"/>
        <v>34.87442403261697</v>
      </c>
      <c r="U92" s="138">
        <f ca="1" t="shared" si="110"/>
        <v>1.06</v>
      </c>
      <c r="V92" s="66">
        <f ca="1" t="shared" si="111"/>
        <v>124.50548</v>
      </c>
      <c r="W92" s="66">
        <f ca="1" t="shared" si="135"/>
        <v>113.732</v>
      </c>
      <c r="X92" s="66">
        <f ca="1" t="shared" si="136"/>
        <v>10.773480000000006</v>
      </c>
      <c r="Y92" s="63">
        <f ca="1" t="shared" si="137"/>
        <v>0</v>
      </c>
      <c r="Z92" s="67">
        <f ca="1" t="shared" si="90"/>
        <v>37.350117215936635</v>
      </c>
      <c r="AA92" s="68">
        <f ca="1" t="shared" si="112"/>
        <v>0.07098879055333573</v>
      </c>
      <c r="AB92" s="169">
        <f t="shared" si="138"/>
        <v>113.732</v>
      </c>
      <c r="AC92" s="169">
        <f t="shared" si="139"/>
        <v>113.732</v>
      </c>
      <c r="AD92" s="169">
        <v>0.24599999999999997</v>
      </c>
      <c r="AE92" s="171">
        <f t="shared" si="140"/>
        <v>0.12299999999999998</v>
      </c>
      <c r="AF92" s="182">
        <v>0</v>
      </c>
      <c r="AG92" s="182">
        <f t="shared" si="141"/>
        <v>0</v>
      </c>
      <c r="AH92" s="182">
        <f t="shared" si="142"/>
        <v>0</v>
      </c>
      <c r="AI92" s="182">
        <v>0</v>
      </c>
      <c r="AJ92" s="171">
        <f t="shared" si="143"/>
        <v>1.8629999999999995</v>
      </c>
      <c r="AK92" s="171">
        <f t="shared" si="144"/>
        <v>115.718</v>
      </c>
      <c r="AL92" s="171">
        <f t="shared" si="145"/>
        <v>7.384893329690845</v>
      </c>
      <c r="AM92" s="171">
        <f t="shared" si="146"/>
        <v>123.10289332969084</v>
      </c>
      <c r="AN92" s="81">
        <f t="shared" si="147"/>
        <v>123.10289332969084</v>
      </c>
      <c r="AO92" s="63">
        <f t="shared" si="148"/>
        <v>117.458</v>
      </c>
      <c r="AP92" s="63">
        <f t="shared" si="149"/>
        <v>117.458</v>
      </c>
      <c r="AQ92" s="63">
        <f t="shared" si="150"/>
        <v>0</v>
      </c>
      <c r="AR92" s="63">
        <f t="shared" si="151"/>
        <v>5.644893329690845</v>
      </c>
      <c r="AS92" s="67">
        <f t="shared" si="113"/>
        <v>35.5763854636149</v>
      </c>
      <c r="AT92" s="65">
        <f ca="1" t="shared" si="114"/>
        <v>1.06</v>
      </c>
      <c r="AU92" s="66">
        <f ca="1" t="shared" si="152"/>
        <v>124.50548</v>
      </c>
      <c r="AV92" s="66">
        <f ca="1" t="shared" si="153"/>
        <v>123.10289332969084</v>
      </c>
      <c r="AW92" s="66">
        <f ca="1" t="shared" si="154"/>
        <v>1.4025866703091623</v>
      </c>
      <c r="AX92" s="63">
        <f ca="1" t="shared" si="155"/>
        <v>0</v>
      </c>
      <c r="AY92" s="67">
        <f ca="1" t="shared" si="115"/>
        <v>36.68154264216859</v>
      </c>
      <c r="AZ92" s="65">
        <f ca="1" t="shared" si="156"/>
        <v>0.031064346873685977</v>
      </c>
      <c r="BA92" s="68">
        <f ca="1" t="shared" si="116"/>
        <v>-0.01790020014937943</v>
      </c>
      <c r="BB92" s="169">
        <f t="shared" si="157"/>
        <v>113.732</v>
      </c>
      <c r="BC92" s="169">
        <f t="shared" si="158"/>
        <v>113.732</v>
      </c>
      <c r="BD92" s="169">
        <v>0.24599999999999997</v>
      </c>
      <c r="BE92" s="171">
        <f t="shared" si="159"/>
        <v>0.12299999999999998</v>
      </c>
      <c r="BF92" s="182">
        <v>0</v>
      </c>
      <c r="BG92" s="182">
        <f t="shared" si="160"/>
        <v>0</v>
      </c>
      <c r="BH92" s="182">
        <f t="shared" si="161"/>
        <v>0</v>
      </c>
      <c r="BI92" s="169">
        <f t="shared" si="162"/>
        <v>0.9314999999999998</v>
      </c>
      <c r="BJ92" s="171">
        <f t="shared" si="163"/>
        <v>114.7865</v>
      </c>
      <c r="BK92" s="171">
        <f t="shared" si="164"/>
        <v>2.2023374942838196</v>
      </c>
      <c r="BL92" s="171">
        <f t="shared" si="165"/>
        <v>116.98883749428383</v>
      </c>
      <c r="BM92" s="81">
        <f t="shared" si="166"/>
        <v>116.98883749428383</v>
      </c>
      <c r="BN92" s="63">
        <f t="shared" si="117"/>
        <v>117.458</v>
      </c>
      <c r="BO92" s="63">
        <f t="shared" si="167"/>
        <v>116.98883749428383</v>
      </c>
      <c r="BP92" s="63">
        <f t="shared" si="168"/>
        <v>0.46916250571617013</v>
      </c>
      <c r="BQ92" s="63">
        <f t="shared" si="169"/>
        <v>0</v>
      </c>
      <c r="BR92" s="67">
        <f t="shared" si="170"/>
        <v>34.90411781248581</v>
      </c>
      <c r="BS92" s="69">
        <f ca="1" t="shared" si="118"/>
        <v>1.06</v>
      </c>
      <c r="BT92" s="66">
        <f ca="1" t="shared" si="171"/>
        <v>124.50548</v>
      </c>
      <c r="BU92" s="66">
        <f ca="1" t="shared" si="172"/>
        <v>116.98883749428383</v>
      </c>
      <c r="BV92" s="66">
        <f ca="1" t="shared" si="173"/>
        <v>7.516642505716177</v>
      </c>
      <c r="BW92" s="63">
        <f ca="1" t="shared" si="174"/>
        <v>0</v>
      </c>
      <c r="BX92" s="67">
        <f ca="1" t="shared" si="119"/>
        <v>36.75216389995677</v>
      </c>
      <c r="BY92" s="65">
        <f ca="1" t="shared" si="175"/>
        <v>0.05294636287326204</v>
      </c>
      <c r="BZ92" s="68">
        <f ca="1" t="shared" si="120"/>
        <v>-0.01600940935534012</v>
      </c>
      <c r="CA92" s="81">
        <f t="shared" si="176"/>
        <v>117.458</v>
      </c>
      <c r="CB92" s="63">
        <f t="shared" si="177"/>
        <v>117.458</v>
      </c>
      <c r="CC92" s="67">
        <f t="shared" si="178"/>
        <v>35.90132553133049</v>
      </c>
      <c r="CD92" s="69">
        <f ca="1" t="shared" si="121"/>
        <v>1.06</v>
      </c>
      <c r="CE92" s="190">
        <f ca="1" t="shared" si="179"/>
        <v>124.50548</v>
      </c>
      <c r="CF92" s="70">
        <f ca="1" t="shared" si="180"/>
        <v>124.50548</v>
      </c>
      <c r="CG92" s="67">
        <f ca="1" t="shared" si="181"/>
        <v>39.30481757441425</v>
      </c>
      <c r="CH92" s="65">
        <f ca="1" t="shared" si="182"/>
        <v>0.09480129194989151</v>
      </c>
      <c r="CI92" s="65">
        <f ca="1" t="shared" si="122"/>
        <v>0.052334517377192524</v>
      </c>
      <c r="CJ92" s="68">
        <f ca="1" t="shared" si="183"/>
        <v>0.06945587425562394</v>
      </c>
      <c r="CL92" s="97">
        <f ca="1" t="shared" si="123"/>
        <v>40736577.82295174</v>
      </c>
      <c r="CM92" s="97">
        <f ca="1" t="shared" si="124"/>
        <v>40007384.92652013</v>
      </c>
      <c r="CN92" s="97">
        <f ca="1" t="shared" si="125"/>
        <v>40084409.272848435</v>
      </c>
      <c r="CO92" s="97">
        <f ca="1" t="shared" si="184"/>
        <v>42868506.96291437</v>
      </c>
      <c r="CQ92" s="97">
        <f t="shared" si="126"/>
        <v>35883413.65868257</v>
      </c>
      <c r="CR92" s="97">
        <f t="shared" si="127"/>
        <v>36605684.29395904</v>
      </c>
      <c r="CS92" s="97">
        <f t="shared" si="128"/>
        <v>35913966.54136607</v>
      </c>
      <c r="CT92" s="97">
        <f t="shared" si="185"/>
        <v>36940025.553708985</v>
      </c>
      <c r="CV92" s="97">
        <f ca="1" t="shared" si="129"/>
        <v>40736577.82295174</v>
      </c>
      <c r="CW92" s="97">
        <f ca="1" t="shared" si="186"/>
        <v>40007384.92652014</v>
      </c>
      <c r="CX92" s="97">
        <f ca="1" t="shared" si="187"/>
        <v>40007384.92652014</v>
      </c>
      <c r="CY92" s="97">
        <f ca="1" t="shared" si="188"/>
        <v>42868506.96291437</v>
      </c>
    </row>
    <row r="93" spans="2:103" ht="12.75">
      <c r="B93" s="14">
        <v>10239</v>
      </c>
      <c r="C93" s="15" t="s">
        <v>92</v>
      </c>
      <c r="D93" s="16">
        <f>RHWM!D80</f>
        <v>0</v>
      </c>
      <c r="E93" s="16">
        <f>RHWM!E80</f>
        <v>1</v>
      </c>
      <c r="F93" s="18">
        <f>RHWM!M80</f>
        <v>15.089</v>
      </c>
      <c r="G93" s="18">
        <f>RHWM!N80</f>
        <v>15.165</v>
      </c>
      <c r="H93" s="18">
        <f>RHWM!O80</f>
        <v>14</v>
      </c>
      <c r="I93" s="18">
        <v>1.089</v>
      </c>
      <c r="J93" s="18">
        <v>1.165</v>
      </c>
      <c r="K93" s="18">
        <v>0</v>
      </c>
      <c r="L93" s="18">
        <v>0</v>
      </c>
      <c r="M93" s="18">
        <v>1.089</v>
      </c>
      <c r="N93" s="18">
        <v>1.165</v>
      </c>
      <c r="O93" s="81">
        <f t="shared" si="130"/>
        <v>14</v>
      </c>
      <c r="P93" s="63">
        <f t="shared" si="131"/>
        <v>15.165</v>
      </c>
      <c r="Q93" s="63">
        <f t="shared" si="132"/>
        <v>14</v>
      </c>
      <c r="R93" s="63">
        <f t="shared" si="133"/>
        <v>1.1649999999999991</v>
      </c>
      <c r="S93" s="63">
        <f t="shared" si="134"/>
        <v>0</v>
      </c>
      <c r="T93" s="67">
        <f t="shared" si="109"/>
        <v>36.190023068746825</v>
      </c>
      <c r="U93" s="138">
        <f ca="1" t="shared" si="110"/>
        <v>1.29</v>
      </c>
      <c r="V93" s="66">
        <f ca="1" t="shared" si="111"/>
        <v>19.56285</v>
      </c>
      <c r="W93" s="66">
        <f ca="1" t="shared" si="135"/>
        <v>14</v>
      </c>
      <c r="X93" s="66">
        <f ca="1" t="shared" si="136"/>
        <v>5.562850000000001</v>
      </c>
      <c r="Y93" s="63">
        <f ca="1" t="shared" si="137"/>
        <v>0</v>
      </c>
      <c r="Z93" s="67">
        <f ca="1" t="shared" si="90"/>
        <v>42.93103084808835</v>
      </c>
      <c r="AA93" s="68">
        <f ca="1" t="shared" si="112"/>
        <v>0.18626702079012936</v>
      </c>
      <c r="AB93" s="169">
        <f t="shared" si="138"/>
        <v>14</v>
      </c>
      <c r="AC93" s="169">
        <f t="shared" si="139"/>
        <v>14</v>
      </c>
      <c r="AD93" s="169">
        <v>0</v>
      </c>
      <c r="AE93" s="171">
        <f t="shared" si="140"/>
        <v>0</v>
      </c>
      <c r="AF93" s="182">
        <v>0</v>
      </c>
      <c r="AG93" s="182">
        <f t="shared" si="141"/>
        <v>0</v>
      </c>
      <c r="AH93" s="182">
        <f t="shared" si="142"/>
        <v>0</v>
      </c>
      <c r="AI93" s="182">
        <v>0</v>
      </c>
      <c r="AJ93" s="171">
        <f t="shared" si="143"/>
        <v>0.5824999999999996</v>
      </c>
      <c r="AK93" s="171">
        <f t="shared" si="144"/>
        <v>14.5825</v>
      </c>
      <c r="AL93" s="171">
        <f t="shared" si="145"/>
        <v>0.9306262377522662</v>
      </c>
      <c r="AM93" s="171">
        <f t="shared" si="146"/>
        <v>15.513126237752266</v>
      </c>
      <c r="AN93" s="81">
        <f t="shared" si="147"/>
        <v>15.513126237752266</v>
      </c>
      <c r="AO93" s="63">
        <f t="shared" si="148"/>
        <v>15.165</v>
      </c>
      <c r="AP93" s="63">
        <f t="shared" si="149"/>
        <v>15.165</v>
      </c>
      <c r="AQ93" s="63">
        <f t="shared" si="150"/>
        <v>0</v>
      </c>
      <c r="AR93" s="63">
        <f t="shared" si="151"/>
        <v>0.3481262377522665</v>
      </c>
      <c r="AS93" s="67">
        <f t="shared" si="113"/>
        <v>35.5763854636149</v>
      </c>
      <c r="AT93" s="65">
        <f ca="1" t="shared" si="114"/>
        <v>1.29</v>
      </c>
      <c r="AU93" s="66">
        <f ca="1" t="shared" si="152"/>
        <v>19.56285</v>
      </c>
      <c r="AV93" s="66">
        <f ca="1" t="shared" si="153"/>
        <v>15.513126237752266</v>
      </c>
      <c r="AW93" s="66">
        <f ca="1" t="shared" si="154"/>
        <v>4.049723762247735</v>
      </c>
      <c r="AX93" s="63">
        <f ca="1" t="shared" si="155"/>
        <v>0</v>
      </c>
      <c r="AY93" s="67">
        <f ca="1" t="shared" si="115"/>
        <v>41.91572054190066</v>
      </c>
      <c r="AZ93" s="65">
        <f ca="1" t="shared" si="156"/>
        <v>0.17818940838633557</v>
      </c>
      <c r="BA93" s="68">
        <f ca="1" t="shared" si="116"/>
        <v>-0.02364980029900443</v>
      </c>
      <c r="BB93" s="169">
        <f t="shared" si="157"/>
        <v>14</v>
      </c>
      <c r="BC93" s="169">
        <f t="shared" si="158"/>
        <v>14</v>
      </c>
      <c r="BD93" s="169">
        <v>0</v>
      </c>
      <c r="BE93" s="171">
        <f t="shared" si="159"/>
        <v>0</v>
      </c>
      <c r="BF93" s="182">
        <v>0</v>
      </c>
      <c r="BG93" s="182">
        <f t="shared" si="160"/>
        <v>0</v>
      </c>
      <c r="BH93" s="182">
        <f t="shared" si="161"/>
        <v>0</v>
      </c>
      <c r="BI93" s="169">
        <f t="shared" si="162"/>
        <v>0.2912499999999998</v>
      </c>
      <c r="BJ93" s="171">
        <f t="shared" si="163"/>
        <v>14.29125</v>
      </c>
      <c r="BK93" s="171">
        <f t="shared" si="164"/>
        <v>0.27419736393376953</v>
      </c>
      <c r="BL93" s="171">
        <f t="shared" si="165"/>
        <v>14.56544736393377</v>
      </c>
      <c r="BM93" s="81">
        <f t="shared" si="166"/>
        <v>14.56544736393377</v>
      </c>
      <c r="BN93" s="63">
        <f t="shared" si="117"/>
        <v>15.165</v>
      </c>
      <c r="BO93" s="63">
        <f t="shared" si="167"/>
        <v>14.56544736393377</v>
      </c>
      <c r="BP93" s="63">
        <f t="shared" si="168"/>
        <v>0.59955263606623</v>
      </c>
      <c r="BQ93" s="63">
        <f t="shared" si="169"/>
        <v>0</v>
      </c>
      <c r="BR93" s="67">
        <f t="shared" si="170"/>
        <v>35.91095975570802</v>
      </c>
      <c r="BS93" s="69">
        <f ca="1" t="shared" si="118"/>
        <v>1.29</v>
      </c>
      <c r="BT93" s="66">
        <f ca="1" t="shared" si="171"/>
        <v>19.56285</v>
      </c>
      <c r="BU93" s="66">
        <f ca="1" t="shared" si="172"/>
        <v>14.56544736393377</v>
      </c>
      <c r="BV93" s="66">
        <f ca="1" t="shared" si="173"/>
        <v>4.997402636066232</v>
      </c>
      <c r="BW93" s="63">
        <f ca="1" t="shared" si="174"/>
        <v>0</v>
      </c>
      <c r="BX93" s="67">
        <f ca="1" t="shared" si="119"/>
        <v>42.22654629501086</v>
      </c>
      <c r="BY93" s="65">
        <f ca="1" t="shared" si="175"/>
        <v>0.17586794065839428</v>
      </c>
      <c r="BZ93" s="68">
        <f ca="1" t="shared" si="120"/>
        <v>-0.016409681742101778</v>
      </c>
      <c r="CA93" s="81">
        <f t="shared" si="176"/>
        <v>15.165</v>
      </c>
      <c r="CB93" s="63">
        <f t="shared" si="177"/>
        <v>15.165</v>
      </c>
      <c r="CC93" s="67">
        <f t="shared" si="178"/>
        <v>35.90132553133049</v>
      </c>
      <c r="CD93" s="69">
        <f ca="1" t="shared" si="121"/>
        <v>1.29</v>
      </c>
      <c r="CE93" s="190">
        <f ca="1" t="shared" si="179"/>
        <v>19.56285</v>
      </c>
      <c r="CF93" s="70">
        <f ca="1" t="shared" si="180"/>
        <v>19.56285</v>
      </c>
      <c r="CG93" s="67">
        <f ca="1" t="shared" si="181"/>
        <v>39.30481757441425</v>
      </c>
      <c r="CH93" s="65">
        <f ca="1" t="shared" si="182"/>
        <v>0.09480129194989151</v>
      </c>
      <c r="CI93" s="65">
        <f ca="1" t="shared" si="122"/>
        <v>-0.0844660191483747</v>
      </c>
      <c r="CJ93" s="68">
        <f ca="1" t="shared" si="183"/>
        <v>-0.06919175203636818</v>
      </c>
      <c r="CL93" s="97">
        <f ca="1" t="shared" si="123"/>
        <v>7357115.055400361</v>
      </c>
      <c r="CM93" s="97">
        <f ca="1" t="shared" si="124"/>
        <v>7183120.753563344</v>
      </c>
      <c r="CN93" s="97">
        <f ca="1" t="shared" si="125"/>
        <v>7236387.138801214</v>
      </c>
      <c r="CO93" s="97">
        <f ca="1" t="shared" si="184"/>
        <v>6735688.834254118</v>
      </c>
      <c r="CQ93" s="97">
        <f t="shared" si="126"/>
        <v>4807678.090576899</v>
      </c>
      <c r="CR93" s="97">
        <f t="shared" si="127"/>
        <v>4726159.157468107</v>
      </c>
      <c r="CS93" s="97">
        <f t="shared" si="128"/>
        <v>4770605.813130934</v>
      </c>
      <c r="CT93" s="97">
        <f t="shared" si="185"/>
        <v>4769325.950739811</v>
      </c>
      <c r="CV93" s="97">
        <f ca="1" t="shared" si="129"/>
        <v>7357115.05540036</v>
      </c>
      <c r="CW93" s="97">
        <f ca="1" t="shared" si="186"/>
        <v>7183120.753563343</v>
      </c>
      <c r="CX93" s="97">
        <f ca="1" t="shared" si="187"/>
        <v>7183120.753563343</v>
      </c>
      <c r="CY93" s="97">
        <f ca="1" t="shared" si="188"/>
        <v>6735688.834254118</v>
      </c>
    </row>
    <row r="94" spans="2:103" ht="12.75">
      <c r="B94" s="14">
        <v>10242</v>
      </c>
      <c r="C94" s="15" t="s">
        <v>93</v>
      </c>
      <c r="D94" s="16">
        <f>RHWM!D81</f>
        <v>1</v>
      </c>
      <c r="E94" s="16">
        <f>RHWM!E81</f>
        <v>0</v>
      </c>
      <c r="F94" s="18">
        <f>RHWM!M81</f>
        <v>11.303</v>
      </c>
      <c r="G94" s="18">
        <f>RHWM!N81</f>
        <v>11.468</v>
      </c>
      <c r="H94" s="18">
        <f>RHWM!O81</f>
        <v>9.526</v>
      </c>
      <c r="I94" s="18">
        <v>1.777</v>
      </c>
      <c r="J94" s="18">
        <v>1.942</v>
      </c>
      <c r="K94" s="18">
        <v>0</v>
      </c>
      <c r="L94" s="18">
        <v>0</v>
      </c>
      <c r="M94" s="18">
        <v>1.777</v>
      </c>
      <c r="N94" s="18">
        <v>1.942</v>
      </c>
      <c r="O94" s="81">
        <f t="shared" si="130"/>
        <v>9.526</v>
      </c>
      <c r="P94" s="63">
        <f t="shared" si="131"/>
        <v>11.468</v>
      </c>
      <c r="Q94" s="63">
        <f t="shared" si="132"/>
        <v>9.526</v>
      </c>
      <c r="R94" s="63">
        <f t="shared" si="133"/>
        <v>1.9420000000000002</v>
      </c>
      <c r="S94" s="63">
        <f t="shared" si="134"/>
        <v>0</v>
      </c>
      <c r="T94" s="67">
        <f t="shared" si="109"/>
        <v>38.8888931178214</v>
      </c>
      <c r="U94" s="138">
        <f ca="1" t="shared" si="110"/>
        <v>0.97</v>
      </c>
      <c r="V94" s="66">
        <f ca="1" t="shared" si="111"/>
        <v>11.12396</v>
      </c>
      <c r="W94" s="66">
        <f ca="1" t="shared" si="135"/>
        <v>9.526</v>
      </c>
      <c r="X94" s="66">
        <f ca="1" t="shared" si="136"/>
        <v>1.5979600000000005</v>
      </c>
      <c r="Y94" s="63">
        <f ca="1" t="shared" si="137"/>
        <v>0</v>
      </c>
      <c r="Z94" s="67">
        <f ca="1" t="shared" si="90"/>
        <v>38.96153188058851</v>
      </c>
      <c r="AA94" s="68">
        <f ca="1" t="shared" si="112"/>
        <v>0.001867853696607913</v>
      </c>
      <c r="AB94" s="169">
        <f t="shared" si="138"/>
        <v>9.526</v>
      </c>
      <c r="AC94" s="169">
        <f t="shared" si="139"/>
        <v>9.526</v>
      </c>
      <c r="AD94" s="169">
        <v>0</v>
      </c>
      <c r="AE94" s="171">
        <f t="shared" si="140"/>
        <v>0</v>
      </c>
      <c r="AF94" s="182">
        <v>0</v>
      </c>
      <c r="AG94" s="182">
        <f t="shared" si="141"/>
        <v>0</v>
      </c>
      <c r="AH94" s="182">
        <f t="shared" si="142"/>
        <v>0</v>
      </c>
      <c r="AI94" s="182">
        <v>0</v>
      </c>
      <c r="AJ94" s="171">
        <f t="shared" si="143"/>
        <v>0.9710000000000001</v>
      </c>
      <c r="AK94" s="171">
        <f t="shared" si="144"/>
        <v>10.497</v>
      </c>
      <c r="AL94" s="171">
        <f t="shared" si="145"/>
        <v>0.6698977279400335</v>
      </c>
      <c r="AM94" s="171">
        <f t="shared" si="146"/>
        <v>11.166897727940034</v>
      </c>
      <c r="AN94" s="81">
        <f t="shared" si="147"/>
        <v>11.166897727940034</v>
      </c>
      <c r="AO94" s="63">
        <f t="shared" si="148"/>
        <v>11.468</v>
      </c>
      <c r="AP94" s="63">
        <f t="shared" si="149"/>
        <v>11.166897727940034</v>
      </c>
      <c r="AQ94" s="63">
        <f t="shared" si="150"/>
        <v>0.30110227205996587</v>
      </c>
      <c r="AR94" s="63">
        <f t="shared" si="151"/>
        <v>0</v>
      </c>
      <c r="AS94" s="67">
        <f t="shared" si="113"/>
        <v>36.29956691789197</v>
      </c>
      <c r="AT94" s="65">
        <f ca="1" t="shared" si="114"/>
        <v>0.97</v>
      </c>
      <c r="AU94" s="66">
        <f ca="1" t="shared" si="152"/>
        <v>11.12396</v>
      </c>
      <c r="AV94" s="66">
        <f ca="1" t="shared" si="153"/>
        <v>11.12396</v>
      </c>
      <c r="AW94" s="66">
        <f ca="1" t="shared" si="154"/>
        <v>0</v>
      </c>
      <c r="AX94" s="63">
        <f ca="1" t="shared" si="155"/>
        <v>0.04293772794003381</v>
      </c>
      <c r="AY94" s="67">
        <f ca="1" t="shared" si="115"/>
        <v>36.38031310262951</v>
      </c>
      <c r="AZ94" s="65">
        <f ca="1" t="shared" si="156"/>
        <v>0.002224439341664386</v>
      </c>
      <c r="BA94" s="68">
        <f ca="1" t="shared" si="116"/>
        <v>-0.0662504437933823</v>
      </c>
      <c r="BB94" s="169">
        <f t="shared" si="157"/>
        <v>9.526</v>
      </c>
      <c r="BC94" s="169">
        <f t="shared" si="158"/>
        <v>9.526</v>
      </c>
      <c r="BD94" s="169">
        <v>0</v>
      </c>
      <c r="BE94" s="171">
        <f t="shared" si="159"/>
        <v>0</v>
      </c>
      <c r="BF94" s="182">
        <v>0</v>
      </c>
      <c r="BG94" s="182">
        <f t="shared" si="160"/>
        <v>0</v>
      </c>
      <c r="BH94" s="182">
        <f t="shared" si="161"/>
        <v>0</v>
      </c>
      <c r="BI94" s="169">
        <f t="shared" si="162"/>
        <v>0.48550000000000004</v>
      </c>
      <c r="BJ94" s="171">
        <f t="shared" si="163"/>
        <v>10.0115</v>
      </c>
      <c r="BK94" s="171">
        <f t="shared" si="164"/>
        <v>0.19208445090687895</v>
      </c>
      <c r="BL94" s="171">
        <f t="shared" si="165"/>
        <v>10.20358445090688</v>
      </c>
      <c r="BM94" s="81">
        <f t="shared" si="166"/>
        <v>10.20358445090688</v>
      </c>
      <c r="BN94" s="63">
        <f t="shared" si="117"/>
        <v>11.468</v>
      </c>
      <c r="BO94" s="63">
        <f t="shared" si="167"/>
        <v>10.20358445090688</v>
      </c>
      <c r="BP94" s="63">
        <f t="shared" si="168"/>
        <v>1.2644155490931208</v>
      </c>
      <c r="BQ94" s="63">
        <f t="shared" si="169"/>
        <v>0</v>
      </c>
      <c r="BR94" s="67">
        <f t="shared" si="170"/>
        <v>37.91440878544794</v>
      </c>
      <c r="BS94" s="69">
        <f ca="1" t="shared" si="118"/>
        <v>0.97</v>
      </c>
      <c r="BT94" s="66">
        <f ca="1" t="shared" si="171"/>
        <v>11.12396</v>
      </c>
      <c r="BU94" s="66">
        <f ca="1" t="shared" si="172"/>
        <v>10.20358445090688</v>
      </c>
      <c r="BV94" s="66">
        <f ca="1" t="shared" si="173"/>
        <v>0.9203755490931211</v>
      </c>
      <c r="BW94" s="63">
        <f ca="1" t="shared" si="174"/>
        <v>0</v>
      </c>
      <c r="BX94" s="67">
        <f ca="1" t="shared" si="119"/>
        <v>37.37980238717507</v>
      </c>
      <c r="BY94" s="65">
        <f ca="1" t="shared" si="175"/>
        <v>-0.014100349059855577</v>
      </c>
      <c r="BZ94" s="68">
        <f ca="1" t="shared" si="120"/>
        <v>-0.04059721004454375</v>
      </c>
      <c r="CA94" s="81">
        <f t="shared" si="176"/>
        <v>11.468</v>
      </c>
      <c r="CB94" s="63">
        <f t="shared" si="177"/>
        <v>11.468</v>
      </c>
      <c r="CC94" s="67">
        <f t="shared" si="178"/>
        <v>35.90132553133049</v>
      </c>
      <c r="CD94" s="69">
        <f ca="1" t="shared" si="121"/>
        <v>0.97</v>
      </c>
      <c r="CE94" s="190">
        <f ca="1" t="shared" si="179"/>
        <v>11.12396</v>
      </c>
      <c r="CF94" s="70">
        <f ca="1" t="shared" si="180"/>
        <v>11.12396</v>
      </c>
      <c r="CG94" s="67">
        <f ca="1" t="shared" si="181"/>
        <v>39.30481757441425</v>
      </c>
      <c r="CH94" s="65">
        <f ca="1" t="shared" si="182"/>
        <v>0.09480129194989151</v>
      </c>
      <c r="CI94" s="65">
        <f ca="1" t="shared" si="122"/>
        <v>0.008810888003014439</v>
      </c>
      <c r="CJ94" s="68">
        <f ca="1" t="shared" si="183"/>
        <v>0.051498805887204346</v>
      </c>
      <c r="CL94" s="97">
        <f ca="1" t="shared" si="123"/>
        <v>3796641.134282708</v>
      </c>
      <c r="CM94" s="97">
        <f ca="1" t="shared" si="124"/>
        <v>3545111.9742122684</v>
      </c>
      <c r="CN94" s="97">
        <f ca="1" t="shared" si="125"/>
        <v>3642508.096690478</v>
      </c>
      <c r="CO94" s="97">
        <f ca="1" t="shared" si="184"/>
        <v>3830092.914104511</v>
      </c>
      <c r="CQ94" s="97">
        <f t="shared" si="126"/>
        <v>3906765.7581705395</v>
      </c>
      <c r="CR94" s="97">
        <f t="shared" si="127"/>
        <v>3646642.8767100135</v>
      </c>
      <c r="CS94" s="97">
        <f t="shared" si="128"/>
        <v>3808869.373975288</v>
      </c>
      <c r="CT94" s="97">
        <f t="shared" si="185"/>
        <v>3606635.674453291</v>
      </c>
      <c r="CV94" s="97">
        <f ca="1" t="shared" si="129"/>
        <v>3796641.134282708</v>
      </c>
      <c r="CW94" s="97">
        <f ca="1" t="shared" si="186"/>
        <v>3545111.9742122684</v>
      </c>
      <c r="CX94" s="97">
        <f ca="1" t="shared" si="187"/>
        <v>3545111.9742122684</v>
      </c>
      <c r="CY94" s="97">
        <f ca="1" t="shared" si="188"/>
        <v>3830092.914104511</v>
      </c>
    </row>
    <row r="95" spans="2:103" ht="12.75">
      <c r="B95" s="14">
        <v>10244</v>
      </c>
      <c r="C95" s="15" t="s">
        <v>94</v>
      </c>
      <c r="D95" s="16">
        <f>RHWM!D82</f>
        <v>1</v>
      </c>
      <c r="E95" s="16">
        <f>RHWM!E82</f>
        <v>0</v>
      </c>
      <c r="F95" s="18">
        <f>RHWM!M82</f>
        <v>99.964</v>
      </c>
      <c r="G95" s="18">
        <f>RHWM!N82</f>
        <v>101.351</v>
      </c>
      <c r="H95" s="18">
        <f>RHWM!O82</f>
        <v>86.038</v>
      </c>
      <c r="I95" s="18">
        <v>13.926</v>
      </c>
      <c r="J95" s="18">
        <v>15.313</v>
      </c>
      <c r="K95" s="18">
        <v>0</v>
      </c>
      <c r="L95" s="18">
        <v>0</v>
      </c>
      <c r="M95" s="18">
        <v>13.926</v>
      </c>
      <c r="N95" s="18">
        <v>15.313</v>
      </c>
      <c r="O95" s="81">
        <f t="shared" si="130"/>
        <v>86.038</v>
      </c>
      <c r="P95" s="63">
        <f t="shared" si="131"/>
        <v>101.351</v>
      </c>
      <c r="Q95" s="63">
        <f t="shared" si="132"/>
        <v>86.038</v>
      </c>
      <c r="R95" s="63">
        <f t="shared" si="133"/>
        <v>15.313000000000002</v>
      </c>
      <c r="S95" s="63">
        <f t="shared" si="134"/>
        <v>0</v>
      </c>
      <c r="T95" s="67">
        <f t="shared" si="109"/>
        <v>38.35646566897131</v>
      </c>
      <c r="U95" s="138">
        <f ca="1" t="shared" si="110"/>
        <v>0.96</v>
      </c>
      <c r="V95" s="66">
        <f ca="1" t="shared" si="111"/>
        <v>97.29696</v>
      </c>
      <c r="W95" s="66">
        <f ca="1" t="shared" si="135"/>
        <v>86.038</v>
      </c>
      <c r="X95" s="66">
        <f ca="1" t="shared" si="136"/>
        <v>11.258960000000002</v>
      </c>
      <c r="Y95" s="63">
        <f ca="1" t="shared" si="137"/>
        <v>0</v>
      </c>
      <c r="Z95" s="67">
        <f ca="1" t="shared" si="90"/>
        <v>38.17352031232497</v>
      </c>
      <c r="AA95" s="68">
        <f ca="1" t="shared" si="112"/>
        <v>-0.004769609333279523</v>
      </c>
      <c r="AB95" s="169">
        <f t="shared" si="138"/>
        <v>86.038</v>
      </c>
      <c r="AC95" s="169">
        <f t="shared" si="139"/>
        <v>86.038</v>
      </c>
      <c r="AD95" s="169">
        <v>0.10350000000000001</v>
      </c>
      <c r="AE95" s="171">
        <f t="shared" si="140"/>
        <v>0.051750000000000004</v>
      </c>
      <c r="AF95" s="182">
        <v>0</v>
      </c>
      <c r="AG95" s="182">
        <f t="shared" si="141"/>
        <v>0</v>
      </c>
      <c r="AH95" s="182">
        <f t="shared" si="142"/>
        <v>0</v>
      </c>
      <c r="AI95" s="182">
        <v>0.747716894977169</v>
      </c>
      <c r="AJ95" s="171">
        <f t="shared" si="143"/>
        <v>7.656500000000001</v>
      </c>
      <c r="AK95" s="171">
        <f t="shared" si="144"/>
        <v>93.74625</v>
      </c>
      <c r="AL95" s="171">
        <f t="shared" si="145"/>
        <v>5.982699807363853</v>
      </c>
      <c r="AM95" s="171">
        <f t="shared" si="146"/>
        <v>99.72894980736386</v>
      </c>
      <c r="AN95" s="81">
        <f t="shared" si="147"/>
        <v>99.72894980736386</v>
      </c>
      <c r="AO95" s="63">
        <f t="shared" si="148"/>
        <v>101.351</v>
      </c>
      <c r="AP95" s="63">
        <f t="shared" si="149"/>
        <v>99.72894980736386</v>
      </c>
      <c r="AQ95" s="63">
        <f t="shared" si="150"/>
        <v>1.622050192636138</v>
      </c>
      <c r="AR95" s="63">
        <f t="shared" si="151"/>
        <v>0</v>
      </c>
      <c r="AS95" s="67">
        <f t="shared" si="113"/>
        <v>36.01720129438755</v>
      </c>
      <c r="AT95" s="65">
        <f ca="1" t="shared" si="114"/>
        <v>0.96</v>
      </c>
      <c r="AU95" s="66">
        <f ca="1" t="shared" si="152"/>
        <v>97.29696</v>
      </c>
      <c r="AV95" s="66">
        <f ca="1" t="shared" si="153"/>
        <v>97.29696</v>
      </c>
      <c r="AW95" s="66">
        <f ca="1" t="shared" si="154"/>
        <v>0</v>
      </c>
      <c r="AX95" s="63">
        <f ca="1" t="shared" si="155"/>
        <v>2.4319898073638626</v>
      </c>
      <c r="AY95" s="67">
        <f ca="1" t="shared" si="115"/>
        <v>36.38031310262951</v>
      </c>
      <c r="AZ95" s="65">
        <f ca="1" t="shared" si="156"/>
        <v>0.010081621980399191</v>
      </c>
      <c r="BA95" s="68">
        <f ca="1" t="shared" si="116"/>
        <v>-0.046975159613887985</v>
      </c>
      <c r="BB95" s="169">
        <f t="shared" si="157"/>
        <v>86.038</v>
      </c>
      <c r="BC95" s="169">
        <f t="shared" si="158"/>
        <v>86.038</v>
      </c>
      <c r="BD95" s="169">
        <v>0.10350000000000001</v>
      </c>
      <c r="BE95" s="171">
        <f t="shared" si="159"/>
        <v>0.051750000000000004</v>
      </c>
      <c r="BF95" s="182">
        <v>0</v>
      </c>
      <c r="BG95" s="182">
        <f t="shared" si="160"/>
        <v>0</v>
      </c>
      <c r="BH95" s="182">
        <f t="shared" si="161"/>
        <v>0</v>
      </c>
      <c r="BI95" s="169">
        <f t="shared" si="162"/>
        <v>3.8282500000000006</v>
      </c>
      <c r="BJ95" s="171">
        <f t="shared" si="163"/>
        <v>89.91799999999999</v>
      </c>
      <c r="BK95" s="171">
        <f t="shared" si="164"/>
        <v>1.725200984532262</v>
      </c>
      <c r="BL95" s="171">
        <f t="shared" si="165"/>
        <v>91.64320098453226</v>
      </c>
      <c r="BM95" s="81">
        <f t="shared" si="166"/>
        <v>91.64320098453226</v>
      </c>
      <c r="BN95" s="63">
        <f t="shared" si="117"/>
        <v>101.351</v>
      </c>
      <c r="BO95" s="63">
        <f t="shared" si="167"/>
        <v>91.64320098453226</v>
      </c>
      <c r="BP95" s="63">
        <f t="shared" si="168"/>
        <v>9.707799015467742</v>
      </c>
      <c r="BQ95" s="63">
        <f t="shared" si="169"/>
        <v>0</v>
      </c>
      <c r="BR95" s="67">
        <f t="shared" si="170"/>
        <v>37.504430158852564</v>
      </c>
      <c r="BS95" s="69">
        <f ca="1" t="shared" si="118"/>
        <v>0.96</v>
      </c>
      <c r="BT95" s="66">
        <f ca="1" t="shared" si="171"/>
        <v>97.29696</v>
      </c>
      <c r="BU95" s="66">
        <f ca="1" t="shared" si="172"/>
        <v>91.64320098453226</v>
      </c>
      <c r="BV95" s="66">
        <f ca="1" t="shared" si="173"/>
        <v>5.653759015467742</v>
      </c>
      <c r="BW95" s="63">
        <f ca="1" t="shared" si="174"/>
        <v>0</v>
      </c>
      <c r="BX95" s="67">
        <f ca="1" t="shared" si="119"/>
        <v>36.688639933980845</v>
      </c>
      <c r="BY95" s="65">
        <f ca="1" t="shared" si="175"/>
        <v>-0.021751836287510096</v>
      </c>
      <c r="BZ95" s="68">
        <f ca="1" t="shared" si="120"/>
        <v>-0.038898177747172635</v>
      </c>
      <c r="CA95" s="81">
        <f t="shared" si="176"/>
        <v>101.351</v>
      </c>
      <c r="CB95" s="63">
        <f t="shared" si="177"/>
        <v>101.351</v>
      </c>
      <c r="CC95" s="67">
        <f t="shared" si="178"/>
        <v>35.90132553133049</v>
      </c>
      <c r="CD95" s="69">
        <f ca="1" t="shared" si="121"/>
        <v>0.96</v>
      </c>
      <c r="CE95" s="190">
        <f ca="1" t="shared" si="179"/>
        <v>97.29696</v>
      </c>
      <c r="CF95" s="70">
        <f ca="1" t="shared" si="180"/>
        <v>97.29696</v>
      </c>
      <c r="CG95" s="67">
        <f ca="1" t="shared" si="181"/>
        <v>39.30481757441425</v>
      </c>
      <c r="CH95" s="65">
        <f ca="1" t="shared" si="182"/>
        <v>0.09480129194989151</v>
      </c>
      <c r="CI95" s="65">
        <f ca="1" t="shared" si="122"/>
        <v>0.029635654580277837</v>
      </c>
      <c r="CJ95" s="68">
        <f ca="1" t="shared" si="183"/>
        <v>0.07130756673294703</v>
      </c>
      <c r="CL95" s="97">
        <f ca="1" t="shared" si="123"/>
        <v>32536107.115054235</v>
      </c>
      <c r="CM95" s="97">
        <f ca="1" t="shared" si="124"/>
        <v>31007718.290110007</v>
      </c>
      <c r="CN95" s="97">
        <f ca="1" t="shared" si="125"/>
        <v>31270511.837291807</v>
      </c>
      <c r="CO95" s="97">
        <f ca="1" t="shared" si="184"/>
        <v>33500335.946902905</v>
      </c>
      <c r="CQ95" s="97">
        <f t="shared" si="126"/>
        <v>34054203.49165939</v>
      </c>
      <c r="CR95" s="97">
        <f t="shared" si="127"/>
        <v>31977323.26707426</v>
      </c>
      <c r="CS95" s="97">
        <f t="shared" si="128"/>
        <v>33297736.749021627</v>
      </c>
      <c r="CT95" s="97">
        <f t="shared" si="185"/>
        <v>31874444.73679068</v>
      </c>
      <c r="CV95" s="97">
        <f ca="1" t="shared" si="129"/>
        <v>32536107.11505424</v>
      </c>
      <c r="CW95" s="97">
        <f ca="1" t="shared" si="186"/>
        <v>31007718.290110007</v>
      </c>
      <c r="CX95" s="97">
        <f ca="1" t="shared" si="187"/>
        <v>31007718.290110007</v>
      </c>
      <c r="CY95" s="97">
        <f ca="1" t="shared" si="188"/>
        <v>33500335.946902905</v>
      </c>
    </row>
    <row r="96" spans="2:103" ht="12.75">
      <c r="B96" s="14">
        <v>10246</v>
      </c>
      <c r="C96" s="15" t="s">
        <v>95</v>
      </c>
      <c r="D96" s="16">
        <f>RHWM!D83</f>
        <v>1</v>
      </c>
      <c r="E96" s="16">
        <f>RHWM!E83</f>
        <v>0</v>
      </c>
      <c r="F96" s="18">
        <f>RHWM!M83</f>
        <v>9.829</v>
      </c>
      <c r="G96" s="18">
        <f>RHWM!N83</f>
        <v>9.862</v>
      </c>
      <c r="H96" s="18">
        <f>RHWM!O83</f>
        <v>8.987</v>
      </c>
      <c r="I96" s="18">
        <v>0.842</v>
      </c>
      <c r="J96" s="18">
        <v>0.875</v>
      </c>
      <c r="K96" s="18">
        <v>0.842</v>
      </c>
      <c r="L96" s="18">
        <v>0.875</v>
      </c>
      <c r="M96" s="18">
        <v>0</v>
      </c>
      <c r="N96" s="18">
        <v>0</v>
      </c>
      <c r="O96" s="81">
        <f t="shared" si="130"/>
        <v>8.987</v>
      </c>
      <c r="P96" s="63">
        <f t="shared" si="131"/>
        <v>9.862</v>
      </c>
      <c r="Q96" s="63">
        <f t="shared" si="132"/>
        <v>8.987</v>
      </c>
      <c r="R96" s="63">
        <f t="shared" si="133"/>
        <v>0.875</v>
      </c>
      <c r="S96" s="63">
        <f t="shared" si="134"/>
        <v>0</v>
      </c>
      <c r="T96" s="67">
        <f t="shared" si="109"/>
        <v>36.537237946808986</v>
      </c>
      <c r="U96" s="138">
        <f ca="1" t="shared" si="110"/>
        <v>1.09</v>
      </c>
      <c r="V96" s="66">
        <f ca="1" t="shared" si="111"/>
        <v>10.749580000000002</v>
      </c>
      <c r="W96" s="66">
        <f ca="1" t="shared" si="135"/>
        <v>8.987</v>
      </c>
      <c r="X96" s="66">
        <f ca="1" t="shared" si="136"/>
        <v>1.7625800000000016</v>
      </c>
      <c r="Y96" s="63">
        <f ca="1" t="shared" si="137"/>
        <v>0</v>
      </c>
      <c r="Z96" s="67">
        <f ca="1" t="shared" si="90"/>
        <v>39.5346959530112</v>
      </c>
      <c r="AA96" s="68">
        <f ca="1" t="shared" si="112"/>
        <v>0.08203844008586314</v>
      </c>
      <c r="AB96" s="169">
        <f t="shared" si="138"/>
        <v>8.987</v>
      </c>
      <c r="AC96" s="169">
        <f t="shared" si="139"/>
        <v>8.987</v>
      </c>
      <c r="AD96" s="169">
        <v>0</v>
      </c>
      <c r="AE96" s="171">
        <f t="shared" si="140"/>
        <v>0</v>
      </c>
      <c r="AF96" s="182">
        <v>0</v>
      </c>
      <c r="AG96" s="182">
        <f t="shared" si="141"/>
        <v>0</v>
      </c>
      <c r="AH96" s="182">
        <f t="shared" si="142"/>
        <v>0</v>
      </c>
      <c r="AI96" s="182">
        <v>0</v>
      </c>
      <c r="AJ96" s="171">
        <f t="shared" si="143"/>
        <v>0.4375</v>
      </c>
      <c r="AK96" s="171">
        <f t="shared" si="144"/>
        <v>9.4245</v>
      </c>
      <c r="AL96" s="171">
        <f t="shared" si="145"/>
        <v>0.6014529043508474</v>
      </c>
      <c r="AM96" s="171">
        <f t="shared" si="146"/>
        <v>10.025952904350847</v>
      </c>
      <c r="AN96" s="81">
        <f t="shared" si="147"/>
        <v>10.025952904350847</v>
      </c>
      <c r="AO96" s="63">
        <f t="shared" si="148"/>
        <v>9.862</v>
      </c>
      <c r="AP96" s="63">
        <f t="shared" si="149"/>
        <v>9.862</v>
      </c>
      <c r="AQ96" s="63">
        <f t="shared" si="150"/>
        <v>0</v>
      </c>
      <c r="AR96" s="63">
        <f t="shared" si="151"/>
        <v>0.16395290435084675</v>
      </c>
      <c r="AS96" s="67">
        <f t="shared" si="113"/>
        <v>35.5763854636149</v>
      </c>
      <c r="AT96" s="65">
        <f ca="1" t="shared" si="114"/>
        <v>1.09</v>
      </c>
      <c r="AU96" s="66">
        <f ca="1" t="shared" si="152"/>
        <v>10.749580000000002</v>
      </c>
      <c r="AV96" s="66">
        <f ca="1" t="shared" si="153"/>
        <v>10.025952904350847</v>
      </c>
      <c r="AW96" s="66">
        <f ca="1" t="shared" si="154"/>
        <v>0.7236270956491548</v>
      </c>
      <c r="AX96" s="63">
        <f ca="1" t="shared" si="155"/>
        <v>0</v>
      </c>
      <c r="AY96" s="67">
        <f ca="1" t="shared" si="115"/>
        <v>38.180342682214196</v>
      </c>
      <c r="AZ96" s="65">
        <f ca="1" t="shared" si="156"/>
        <v>0.07319341705644744</v>
      </c>
      <c r="BA96" s="68">
        <f ca="1" t="shared" si="116"/>
        <v>-0.034257333669815426</v>
      </c>
      <c r="BB96" s="169">
        <f t="shared" si="157"/>
        <v>8.987</v>
      </c>
      <c r="BC96" s="169">
        <f t="shared" si="158"/>
        <v>8.987</v>
      </c>
      <c r="BD96" s="169">
        <v>0</v>
      </c>
      <c r="BE96" s="171">
        <f t="shared" si="159"/>
        <v>0</v>
      </c>
      <c r="BF96" s="182">
        <v>0</v>
      </c>
      <c r="BG96" s="182">
        <f t="shared" si="160"/>
        <v>0</v>
      </c>
      <c r="BH96" s="182">
        <f t="shared" si="161"/>
        <v>0</v>
      </c>
      <c r="BI96" s="169">
        <f t="shared" si="162"/>
        <v>0.21875</v>
      </c>
      <c r="BJ96" s="171">
        <f t="shared" si="163"/>
        <v>9.20575</v>
      </c>
      <c r="BK96" s="171">
        <f t="shared" si="164"/>
        <v>0.1766250246152925</v>
      </c>
      <c r="BL96" s="171">
        <f t="shared" si="165"/>
        <v>9.382375024615293</v>
      </c>
      <c r="BM96" s="81">
        <f t="shared" si="166"/>
        <v>9.382375024615293</v>
      </c>
      <c r="BN96" s="63">
        <f t="shared" si="117"/>
        <v>9.862</v>
      </c>
      <c r="BO96" s="63">
        <f t="shared" si="167"/>
        <v>9.382375024615293</v>
      </c>
      <c r="BP96" s="63">
        <f t="shared" si="168"/>
        <v>0.4796249753847075</v>
      </c>
      <c r="BQ96" s="63">
        <f t="shared" si="169"/>
        <v>0</v>
      </c>
      <c r="BR96" s="67">
        <f t="shared" si="170"/>
        <v>36.168707367825704</v>
      </c>
      <c r="BS96" s="69">
        <f ca="1" t="shared" si="118"/>
        <v>1.09</v>
      </c>
      <c r="BT96" s="66">
        <f ca="1" t="shared" si="171"/>
        <v>10.749580000000002</v>
      </c>
      <c r="BU96" s="66">
        <f ca="1" t="shared" si="172"/>
        <v>9.382375024615293</v>
      </c>
      <c r="BV96" s="66">
        <f ca="1" t="shared" si="173"/>
        <v>1.367204975384709</v>
      </c>
      <c r="BW96" s="63">
        <f ca="1" t="shared" si="174"/>
        <v>0</v>
      </c>
      <c r="BX96" s="67">
        <f ca="1" t="shared" si="119"/>
        <v>38.627121729166106</v>
      </c>
      <c r="BY96" s="65">
        <f ca="1" t="shared" si="175"/>
        <v>0.06797075539191955</v>
      </c>
      <c r="BZ96" s="68">
        <f ca="1" t="shared" si="120"/>
        <v>-0.022956398221040786</v>
      </c>
      <c r="CA96" s="81">
        <f t="shared" si="176"/>
        <v>9.862</v>
      </c>
      <c r="CB96" s="63">
        <f t="shared" si="177"/>
        <v>9.862</v>
      </c>
      <c r="CC96" s="67">
        <f t="shared" si="178"/>
        <v>35.90132553133049</v>
      </c>
      <c r="CD96" s="69">
        <f ca="1" t="shared" si="121"/>
        <v>1.09</v>
      </c>
      <c r="CE96" s="190">
        <f ca="1" t="shared" si="179"/>
        <v>10.749580000000002</v>
      </c>
      <c r="CF96" s="70">
        <f ca="1" t="shared" si="180"/>
        <v>10.749580000000002</v>
      </c>
      <c r="CG96" s="67">
        <f ca="1" t="shared" si="181"/>
        <v>39.30481757441425</v>
      </c>
      <c r="CH96" s="65">
        <f ca="1" t="shared" si="182"/>
        <v>0.09480129194989151</v>
      </c>
      <c r="CI96" s="65">
        <f ca="1" t="shared" si="122"/>
        <v>-0.005814598368738433</v>
      </c>
      <c r="CJ96" s="68">
        <f ca="1" t="shared" si="183"/>
        <v>0.017544559752595834</v>
      </c>
      <c r="CL96" s="97">
        <f ca="1" t="shared" si="123"/>
        <v>3722836.8618417154</v>
      </c>
      <c r="CM96" s="97">
        <f ca="1" t="shared" si="124"/>
        <v>3595302.3972673155</v>
      </c>
      <c r="CN96" s="97">
        <f ca="1" t="shared" si="125"/>
        <v>3637373.9363293066</v>
      </c>
      <c r="CO96" s="97">
        <f ca="1" t="shared" si="184"/>
        <v>3701190.0606977707</v>
      </c>
      <c r="CQ96" s="97">
        <f t="shared" si="126"/>
        <v>3156492.9079313283</v>
      </c>
      <c r="CR96" s="97">
        <f t="shared" si="127"/>
        <v>3073483.7857534103</v>
      </c>
      <c r="CS96" s="97">
        <f t="shared" si="128"/>
        <v>3124655.1384587144</v>
      </c>
      <c r="CT96" s="97">
        <f t="shared" si="185"/>
        <v>3101555.7221362363</v>
      </c>
      <c r="CV96" s="97">
        <f ca="1" t="shared" si="129"/>
        <v>3722836.8618417154</v>
      </c>
      <c r="CW96" s="97">
        <f ca="1" t="shared" si="186"/>
        <v>3595302.397267315</v>
      </c>
      <c r="CX96" s="97">
        <f ca="1" t="shared" si="187"/>
        <v>3595302.397267315</v>
      </c>
      <c r="CY96" s="97">
        <f ca="1" t="shared" si="188"/>
        <v>3701190.0606977707</v>
      </c>
    </row>
    <row r="97" spans="2:103" ht="12.75">
      <c r="B97" s="14">
        <v>10247</v>
      </c>
      <c r="C97" s="15" t="s">
        <v>96</v>
      </c>
      <c r="D97" s="16">
        <f>RHWM!D84</f>
        <v>1</v>
      </c>
      <c r="E97" s="16">
        <f>RHWM!E84</f>
        <v>0</v>
      </c>
      <c r="F97" s="18">
        <f>RHWM!M84</f>
        <v>79.954</v>
      </c>
      <c r="G97" s="18">
        <f>RHWM!N84</f>
        <v>80.439</v>
      </c>
      <c r="H97" s="18">
        <f>RHWM!O84</f>
        <v>79.929</v>
      </c>
      <c r="I97" s="18">
        <v>0.025</v>
      </c>
      <c r="J97" s="18">
        <v>0.51</v>
      </c>
      <c r="K97" s="18">
        <v>0</v>
      </c>
      <c r="L97" s="18">
        <v>0</v>
      </c>
      <c r="M97" s="18">
        <v>0.025</v>
      </c>
      <c r="N97" s="18">
        <v>0.51</v>
      </c>
      <c r="O97" s="81">
        <f t="shared" si="130"/>
        <v>79.929</v>
      </c>
      <c r="P97" s="63">
        <f t="shared" si="131"/>
        <v>80.439</v>
      </c>
      <c r="Q97" s="63">
        <f t="shared" si="132"/>
        <v>79.929</v>
      </c>
      <c r="R97" s="63">
        <f t="shared" si="133"/>
        <v>0.5099999999999909</v>
      </c>
      <c r="S97" s="63">
        <f t="shared" si="134"/>
        <v>0</v>
      </c>
      <c r="T97" s="67">
        <f t="shared" si="109"/>
        <v>34.13401407731784</v>
      </c>
      <c r="U97" s="138">
        <f ca="1" t="shared" si="110"/>
        <v>1.02</v>
      </c>
      <c r="V97" s="66">
        <f ca="1" t="shared" si="111"/>
        <v>82.04777999999999</v>
      </c>
      <c r="W97" s="66">
        <f ca="1" t="shared" si="135"/>
        <v>79.929</v>
      </c>
      <c r="X97" s="66">
        <f ca="1" t="shared" si="136"/>
        <v>2.118779999999987</v>
      </c>
      <c r="Y97" s="63">
        <f ca="1" t="shared" si="137"/>
        <v>0</v>
      </c>
      <c r="Z97" s="67">
        <f ca="1" t="shared" si="90"/>
        <v>35.63752898838712</v>
      </c>
      <c r="AA97" s="68">
        <f ca="1" t="shared" si="112"/>
        <v>0.04404740994316181</v>
      </c>
      <c r="AB97" s="169">
        <f t="shared" si="138"/>
        <v>79.929</v>
      </c>
      <c r="AC97" s="169">
        <f t="shared" si="139"/>
        <v>79.929</v>
      </c>
      <c r="AD97" s="169">
        <v>0.513</v>
      </c>
      <c r="AE97" s="171">
        <f t="shared" si="140"/>
        <v>0.2565</v>
      </c>
      <c r="AF97" s="182">
        <v>0</v>
      </c>
      <c r="AG97" s="182">
        <f t="shared" si="141"/>
        <v>0</v>
      </c>
      <c r="AH97" s="182">
        <f t="shared" si="142"/>
        <v>0</v>
      </c>
      <c r="AI97" s="182">
        <v>0</v>
      </c>
      <c r="AJ97" s="171">
        <f t="shared" si="143"/>
        <v>0.25499999999999545</v>
      </c>
      <c r="AK97" s="171">
        <f t="shared" si="144"/>
        <v>80.4405</v>
      </c>
      <c r="AL97" s="171">
        <f t="shared" si="145"/>
        <v>5.133553223240951</v>
      </c>
      <c r="AM97" s="171">
        <f t="shared" si="146"/>
        <v>85.57405322324095</v>
      </c>
      <c r="AN97" s="81">
        <f t="shared" si="147"/>
        <v>85.57405322324095</v>
      </c>
      <c r="AO97" s="63">
        <f t="shared" si="148"/>
        <v>80.439</v>
      </c>
      <c r="AP97" s="63">
        <f t="shared" si="149"/>
        <v>80.439</v>
      </c>
      <c r="AQ97" s="63">
        <f t="shared" si="150"/>
        <v>0</v>
      </c>
      <c r="AR97" s="63">
        <f t="shared" si="151"/>
        <v>5.135053223240959</v>
      </c>
      <c r="AS97" s="67">
        <f t="shared" si="113"/>
        <v>35.5763854636149</v>
      </c>
      <c r="AT97" s="65">
        <f ca="1" t="shared" si="114"/>
        <v>1.02</v>
      </c>
      <c r="AU97" s="66">
        <f ca="1" t="shared" si="152"/>
        <v>82.04777999999999</v>
      </c>
      <c r="AV97" s="66">
        <f ca="1" t="shared" si="153"/>
        <v>82.04777999999999</v>
      </c>
      <c r="AW97" s="66">
        <f ca="1" t="shared" si="154"/>
        <v>0</v>
      </c>
      <c r="AX97" s="63">
        <f ca="1" t="shared" si="155"/>
        <v>3.5262732232409633</v>
      </c>
      <c r="AY97" s="67">
        <f ca="1" t="shared" si="115"/>
        <v>36.38031310262951</v>
      </c>
      <c r="AZ97" s="65">
        <f ca="1" t="shared" si="156"/>
        <v>0.0225972264618286</v>
      </c>
      <c r="BA97" s="68">
        <f ca="1" t="shared" si="116"/>
        <v>0.02084275019416837</v>
      </c>
      <c r="BB97" s="169">
        <f t="shared" si="157"/>
        <v>79.929</v>
      </c>
      <c r="BC97" s="169">
        <f t="shared" si="158"/>
        <v>79.929</v>
      </c>
      <c r="BD97" s="169">
        <v>0.513</v>
      </c>
      <c r="BE97" s="171">
        <f t="shared" si="159"/>
        <v>0.2565</v>
      </c>
      <c r="BF97" s="182">
        <v>0</v>
      </c>
      <c r="BG97" s="182">
        <f t="shared" si="160"/>
        <v>0</v>
      </c>
      <c r="BH97" s="182">
        <f t="shared" si="161"/>
        <v>0</v>
      </c>
      <c r="BI97" s="169">
        <f t="shared" si="162"/>
        <v>0.12749999999999773</v>
      </c>
      <c r="BJ97" s="171">
        <f t="shared" si="163"/>
        <v>80.313</v>
      </c>
      <c r="BK97" s="171">
        <f t="shared" si="164"/>
        <v>1.5409157974014054</v>
      </c>
      <c r="BL97" s="171">
        <f t="shared" si="165"/>
        <v>81.85391579740141</v>
      </c>
      <c r="BM97" s="81">
        <f t="shared" si="166"/>
        <v>81.85391579740141</v>
      </c>
      <c r="BN97" s="63">
        <f t="shared" si="117"/>
        <v>80.439</v>
      </c>
      <c r="BO97" s="63">
        <f t="shared" si="167"/>
        <v>80.439</v>
      </c>
      <c r="BP97" s="63">
        <f t="shared" si="168"/>
        <v>0</v>
      </c>
      <c r="BQ97" s="63">
        <f t="shared" si="169"/>
        <v>1.4149157974014201</v>
      </c>
      <c r="BR97" s="67">
        <f t="shared" si="170"/>
        <v>34.790963136607154</v>
      </c>
      <c r="BS97" s="69">
        <f ca="1" t="shared" si="118"/>
        <v>1.02</v>
      </c>
      <c r="BT97" s="66">
        <f ca="1" t="shared" si="171"/>
        <v>82.04777999999999</v>
      </c>
      <c r="BU97" s="66">
        <f ca="1" t="shared" si="172"/>
        <v>81.85391579740141</v>
      </c>
      <c r="BV97" s="66">
        <f ca="1" t="shared" si="173"/>
        <v>0.19386420259857573</v>
      </c>
      <c r="BW97" s="63">
        <f ca="1" t="shared" si="174"/>
        <v>0</v>
      </c>
      <c r="BX97" s="67">
        <f ca="1" t="shared" si="119"/>
        <v>35.12431117054122</v>
      </c>
      <c r="BY97" s="65">
        <f ca="1" t="shared" si="175"/>
        <v>0.009581454604322692</v>
      </c>
      <c r="BZ97" s="68">
        <f ca="1" t="shared" si="120"/>
        <v>-0.014401049467069882</v>
      </c>
      <c r="CA97" s="81">
        <f t="shared" si="176"/>
        <v>80.439</v>
      </c>
      <c r="CB97" s="63">
        <f t="shared" si="177"/>
        <v>80.439</v>
      </c>
      <c r="CC97" s="67">
        <f t="shared" si="178"/>
        <v>35.90132553133049</v>
      </c>
      <c r="CD97" s="69">
        <f ca="1" t="shared" si="121"/>
        <v>1.02</v>
      </c>
      <c r="CE97" s="190">
        <f ca="1" t="shared" si="179"/>
        <v>82.04777999999999</v>
      </c>
      <c r="CF97" s="70">
        <f ca="1" t="shared" si="180"/>
        <v>82.04777999999999</v>
      </c>
      <c r="CG97" s="67">
        <f ca="1" t="shared" si="181"/>
        <v>39.30481757441425</v>
      </c>
      <c r="CH97" s="65">
        <f ca="1" t="shared" si="182"/>
        <v>0.09480129194989151</v>
      </c>
      <c r="CI97" s="65">
        <f ca="1" t="shared" si="122"/>
        <v>0.10290524315594829</v>
      </c>
      <c r="CJ97" s="68">
        <f ca="1" t="shared" si="183"/>
        <v>0.11902030999483992</v>
      </c>
      <c r="CL97" s="97">
        <f ca="1" t="shared" si="123"/>
        <v>25614066.010481402</v>
      </c>
      <c r="CM97" s="97">
        <f ca="1" t="shared" si="124"/>
        <v>26147933.589794807</v>
      </c>
      <c r="CN97" s="97">
        <f ca="1" t="shared" si="125"/>
        <v>25245196.578811664</v>
      </c>
      <c r="CO97" s="97">
        <f ca="1" t="shared" si="184"/>
        <v>28249887.7015025</v>
      </c>
      <c r="CQ97" s="97">
        <f t="shared" si="126"/>
        <v>24052384.195280645</v>
      </c>
      <c r="CR97" s="97">
        <f t="shared" si="127"/>
        <v>25068744.903895613</v>
      </c>
      <c r="CS97" s="97">
        <f t="shared" si="128"/>
        <v>24515300.48561095</v>
      </c>
      <c r="CT97" s="97">
        <f t="shared" si="185"/>
        <v>25297712.50587271</v>
      </c>
      <c r="CV97" s="97">
        <f ca="1" t="shared" si="129"/>
        <v>25614066.010481402</v>
      </c>
      <c r="CW97" s="97">
        <f ca="1" t="shared" si="186"/>
        <v>26147933.589794803</v>
      </c>
      <c r="CX97" s="97">
        <f ca="1" t="shared" si="187"/>
        <v>26147933.589794803</v>
      </c>
      <c r="CY97" s="97">
        <f ca="1" t="shared" si="188"/>
        <v>28249887.701502502</v>
      </c>
    </row>
    <row r="98" spans="2:103" ht="12.75">
      <c r="B98" s="14">
        <v>10256</v>
      </c>
      <c r="C98" s="15" t="s">
        <v>97</v>
      </c>
      <c r="D98" s="16">
        <f>RHWM!D85</f>
        <v>1</v>
      </c>
      <c r="E98" s="16">
        <f>RHWM!E85</f>
        <v>0</v>
      </c>
      <c r="F98" s="18">
        <f>RHWM!M85</f>
        <v>57.596</v>
      </c>
      <c r="G98" s="18">
        <f>RHWM!N85</f>
        <v>59.05</v>
      </c>
      <c r="H98" s="18">
        <f>RHWM!O85</f>
        <v>46.746</v>
      </c>
      <c r="I98" s="18">
        <v>10.85</v>
      </c>
      <c r="J98" s="18">
        <v>12.304</v>
      </c>
      <c r="K98" s="18">
        <v>0</v>
      </c>
      <c r="L98" s="18">
        <v>0</v>
      </c>
      <c r="M98" s="18">
        <v>10.85</v>
      </c>
      <c r="N98" s="18">
        <v>12.304</v>
      </c>
      <c r="O98" s="81">
        <f t="shared" si="130"/>
        <v>46.746</v>
      </c>
      <c r="P98" s="63">
        <f t="shared" si="131"/>
        <v>59.05</v>
      </c>
      <c r="Q98" s="63">
        <f t="shared" si="132"/>
        <v>46.746</v>
      </c>
      <c r="R98" s="63">
        <f t="shared" si="133"/>
        <v>12.303999999999995</v>
      </c>
      <c r="S98" s="63">
        <f t="shared" si="134"/>
        <v>0</v>
      </c>
      <c r="T98" s="67">
        <f t="shared" si="109"/>
        <v>40.027289391322014</v>
      </c>
      <c r="U98" s="138">
        <f ca="1" t="shared" si="110"/>
        <v>1.08</v>
      </c>
      <c r="V98" s="66">
        <f ca="1" t="shared" si="111"/>
        <v>63.774</v>
      </c>
      <c r="W98" s="66">
        <f ca="1" t="shared" si="135"/>
        <v>46.746</v>
      </c>
      <c r="X98" s="66">
        <f ca="1" t="shared" si="136"/>
        <v>17.028</v>
      </c>
      <c r="Y98" s="63">
        <f ca="1" t="shared" si="137"/>
        <v>0</v>
      </c>
      <c r="Z98" s="67">
        <f ca="1" t="shared" si="90"/>
        <v>42.441500057951004</v>
      </c>
      <c r="AA98" s="68">
        <f ca="1" t="shared" si="112"/>
        <v>0.0603141182763276</v>
      </c>
      <c r="AB98" s="169">
        <f t="shared" si="138"/>
        <v>46.746</v>
      </c>
      <c r="AC98" s="169">
        <f t="shared" si="139"/>
        <v>46.746</v>
      </c>
      <c r="AD98" s="169">
        <v>0</v>
      </c>
      <c r="AE98" s="171">
        <f t="shared" si="140"/>
        <v>0</v>
      </c>
      <c r="AF98" s="182">
        <v>0</v>
      </c>
      <c r="AG98" s="182">
        <f t="shared" si="141"/>
        <v>0</v>
      </c>
      <c r="AH98" s="182">
        <f t="shared" si="142"/>
        <v>0</v>
      </c>
      <c r="AI98" s="182">
        <v>0.5218036529680365</v>
      </c>
      <c r="AJ98" s="171">
        <f t="shared" si="143"/>
        <v>6.1519999999999975</v>
      </c>
      <c r="AK98" s="171">
        <f t="shared" si="144"/>
        <v>52.897999999999996</v>
      </c>
      <c r="AL98" s="171">
        <f t="shared" si="145"/>
        <v>3.3758454808585205</v>
      </c>
      <c r="AM98" s="171">
        <f t="shared" si="146"/>
        <v>56.27384548085852</v>
      </c>
      <c r="AN98" s="81">
        <f t="shared" si="147"/>
        <v>56.27384548085852</v>
      </c>
      <c r="AO98" s="63">
        <f t="shared" si="148"/>
        <v>59.05</v>
      </c>
      <c r="AP98" s="63">
        <f t="shared" si="149"/>
        <v>56.27384548085852</v>
      </c>
      <c r="AQ98" s="63">
        <f t="shared" si="150"/>
        <v>2.7761545191414783</v>
      </c>
      <c r="AR98" s="63">
        <f t="shared" si="151"/>
        <v>0</v>
      </c>
      <c r="AS98" s="67">
        <f t="shared" si="113"/>
        <v>36.87131061126395</v>
      </c>
      <c r="AT98" s="65">
        <f ca="1" t="shared" si="114"/>
        <v>1.08</v>
      </c>
      <c r="AU98" s="66">
        <f ca="1" t="shared" si="152"/>
        <v>63.774</v>
      </c>
      <c r="AV98" s="66">
        <f ca="1" t="shared" si="153"/>
        <v>56.27384548085852</v>
      </c>
      <c r="AW98" s="66">
        <f ca="1" t="shared" si="154"/>
        <v>7.500154519141482</v>
      </c>
      <c r="AX98" s="63">
        <f ca="1" t="shared" si="155"/>
        <v>0</v>
      </c>
      <c r="AY98" s="67">
        <f ca="1" t="shared" si="115"/>
        <v>39.52503953540371</v>
      </c>
      <c r="AZ98" s="65">
        <f ca="1" t="shared" si="156"/>
        <v>0.0719727311057139</v>
      </c>
      <c r="BA98" s="68">
        <f ca="1" t="shared" si="116"/>
        <v>-0.06871718762449652</v>
      </c>
      <c r="BB98" s="169">
        <f t="shared" si="157"/>
        <v>46.746</v>
      </c>
      <c r="BC98" s="169">
        <f t="shared" si="158"/>
        <v>46.746</v>
      </c>
      <c r="BD98" s="169">
        <v>0</v>
      </c>
      <c r="BE98" s="171">
        <f t="shared" si="159"/>
        <v>0</v>
      </c>
      <c r="BF98" s="182">
        <v>0</v>
      </c>
      <c r="BG98" s="182">
        <f t="shared" si="160"/>
        <v>0</v>
      </c>
      <c r="BH98" s="182">
        <f t="shared" si="161"/>
        <v>0</v>
      </c>
      <c r="BI98" s="169">
        <f t="shared" si="162"/>
        <v>3.0759999999999987</v>
      </c>
      <c r="BJ98" s="171">
        <f t="shared" si="163"/>
        <v>49.822</v>
      </c>
      <c r="BK98" s="171">
        <f t="shared" si="164"/>
        <v>0.9559038618671052</v>
      </c>
      <c r="BL98" s="171">
        <f t="shared" si="165"/>
        <v>50.77790386186711</v>
      </c>
      <c r="BM98" s="81">
        <f t="shared" si="166"/>
        <v>50.77790386186711</v>
      </c>
      <c r="BN98" s="63">
        <f t="shared" si="117"/>
        <v>59.05</v>
      </c>
      <c r="BO98" s="63">
        <f t="shared" si="167"/>
        <v>50.77790386186711</v>
      </c>
      <c r="BP98" s="63">
        <f t="shared" si="168"/>
        <v>8.272096138132888</v>
      </c>
      <c r="BQ98" s="63">
        <f t="shared" si="169"/>
        <v>0</v>
      </c>
      <c r="BR98" s="67">
        <f t="shared" si="170"/>
        <v>38.759473152436044</v>
      </c>
      <c r="BS98" s="69">
        <f ca="1" t="shared" si="118"/>
        <v>1.08</v>
      </c>
      <c r="BT98" s="66">
        <f ca="1" t="shared" si="171"/>
        <v>63.774</v>
      </c>
      <c r="BU98" s="66">
        <f ca="1" t="shared" si="172"/>
        <v>50.77790386186711</v>
      </c>
      <c r="BV98" s="66">
        <f ca="1" t="shared" si="173"/>
        <v>12.996096138132891</v>
      </c>
      <c r="BW98" s="63">
        <f ca="1" t="shared" si="174"/>
        <v>0</v>
      </c>
      <c r="BX98" s="67">
        <f ca="1" t="shared" si="119"/>
        <v>40.776580292589834</v>
      </c>
      <c r="BY98" s="65">
        <f ca="1" t="shared" si="175"/>
        <v>0.05204165526762372</v>
      </c>
      <c r="BZ98" s="68">
        <f ca="1" t="shared" si="120"/>
        <v>-0.039228579646992556</v>
      </c>
      <c r="CA98" s="81">
        <f t="shared" si="176"/>
        <v>59.05</v>
      </c>
      <c r="CB98" s="63">
        <f t="shared" si="177"/>
        <v>59.05</v>
      </c>
      <c r="CC98" s="67">
        <f t="shared" si="178"/>
        <v>35.90132553133049</v>
      </c>
      <c r="CD98" s="69">
        <f ca="1" t="shared" si="121"/>
        <v>1.08</v>
      </c>
      <c r="CE98" s="190">
        <f ca="1" t="shared" si="179"/>
        <v>63.774</v>
      </c>
      <c r="CF98" s="70">
        <f ca="1" t="shared" si="180"/>
        <v>63.774</v>
      </c>
      <c r="CG98" s="67">
        <f ca="1" t="shared" si="181"/>
        <v>39.30481757441425</v>
      </c>
      <c r="CH98" s="65">
        <f ca="1" t="shared" si="182"/>
        <v>0.09480129194989151</v>
      </c>
      <c r="CI98" s="65">
        <f ca="1" t="shared" si="122"/>
        <v>-0.07390602309658767</v>
      </c>
      <c r="CJ98" s="68">
        <f ca="1" t="shared" si="183"/>
        <v>-0.03609333366395717</v>
      </c>
      <c r="CL98" s="97">
        <f ca="1" t="shared" si="123"/>
        <v>23710378.60833492</v>
      </c>
      <c r="CM98" s="97">
        <f ca="1" t="shared" si="124"/>
        <v>22081068.07285812</v>
      </c>
      <c r="CN98" s="97">
        <f ca="1" t="shared" si="125"/>
        <v>22780254.13263751</v>
      </c>
      <c r="CO98" s="97">
        <f ca="1" t="shared" si="184"/>
        <v>21958038.819278482</v>
      </c>
      <c r="CQ98" s="97">
        <f t="shared" si="126"/>
        <v>20705236.201764267</v>
      </c>
      <c r="CR98" s="97">
        <f t="shared" si="127"/>
        <v>19072717.810373392</v>
      </c>
      <c r="CS98" s="97">
        <f t="shared" si="128"/>
        <v>20049422.753345814</v>
      </c>
      <c r="CT98" s="97">
        <f t="shared" si="185"/>
        <v>18570965.868195575</v>
      </c>
      <c r="CV98" s="97">
        <f ca="1" t="shared" si="129"/>
        <v>23710378.608334925</v>
      </c>
      <c r="CW98" s="97">
        <f ca="1" t="shared" si="186"/>
        <v>22081068.072858125</v>
      </c>
      <c r="CX98" s="97">
        <f ca="1" t="shared" si="187"/>
        <v>22081068.072858125</v>
      </c>
      <c r="CY98" s="97">
        <f ca="1" t="shared" si="188"/>
        <v>21958038.819278482</v>
      </c>
    </row>
    <row r="99" spans="2:103" ht="12.75">
      <c r="B99" s="14">
        <v>10258</v>
      </c>
      <c r="C99" s="15" t="s">
        <v>98</v>
      </c>
      <c r="D99" s="16">
        <f>RHWM!D86</f>
        <v>1</v>
      </c>
      <c r="E99" s="16">
        <f>RHWM!E86</f>
        <v>0</v>
      </c>
      <c r="F99" s="18">
        <f>RHWM!M86</f>
        <v>41.211</v>
      </c>
      <c r="G99" s="18">
        <f>RHWM!N86</f>
        <v>41.46</v>
      </c>
      <c r="H99" s="18">
        <f>RHWM!O86</f>
        <v>37.952</v>
      </c>
      <c r="I99" s="18">
        <v>3.259</v>
      </c>
      <c r="J99" s="18">
        <v>3.508</v>
      </c>
      <c r="K99" s="18">
        <v>0</v>
      </c>
      <c r="L99" s="18">
        <v>0</v>
      </c>
      <c r="M99" s="18">
        <v>3.259</v>
      </c>
      <c r="N99" s="18">
        <v>3.508</v>
      </c>
      <c r="O99" s="81">
        <f t="shared" si="130"/>
        <v>37.952</v>
      </c>
      <c r="P99" s="63">
        <f t="shared" si="131"/>
        <v>41.46</v>
      </c>
      <c r="Q99" s="63">
        <f t="shared" si="132"/>
        <v>37.952</v>
      </c>
      <c r="R99" s="63">
        <f t="shared" si="133"/>
        <v>3.5080000000000027</v>
      </c>
      <c r="S99" s="63">
        <f t="shared" si="134"/>
        <v>0</v>
      </c>
      <c r="T99" s="67">
        <f t="shared" si="109"/>
        <v>36.41726597518181</v>
      </c>
      <c r="U99" s="138">
        <f ca="1" t="shared" si="110"/>
        <v>1.23</v>
      </c>
      <c r="V99" s="66">
        <f ca="1" t="shared" si="111"/>
        <v>50.9958</v>
      </c>
      <c r="W99" s="66">
        <f ca="1" t="shared" si="135"/>
        <v>37.952</v>
      </c>
      <c r="X99" s="66">
        <f ca="1" t="shared" si="136"/>
        <v>13.043800000000005</v>
      </c>
      <c r="Y99" s="63">
        <f ca="1" t="shared" si="137"/>
        <v>0</v>
      </c>
      <c r="Z99" s="67">
        <f ca="1" t="shared" si="90"/>
        <v>42.12487368513862</v>
      </c>
      <c r="AA99" s="68">
        <f ca="1" t="shared" si="112"/>
        <v>0.15672806722631272</v>
      </c>
      <c r="AB99" s="169">
        <f t="shared" si="138"/>
        <v>37.952</v>
      </c>
      <c r="AC99" s="169">
        <f t="shared" si="139"/>
        <v>37.952</v>
      </c>
      <c r="AD99" s="169">
        <v>0.09999999999999999</v>
      </c>
      <c r="AE99" s="171">
        <f t="shared" si="140"/>
        <v>0.049999999999999996</v>
      </c>
      <c r="AF99" s="182">
        <v>0</v>
      </c>
      <c r="AG99" s="182">
        <f t="shared" si="141"/>
        <v>0</v>
      </c>
      <c r="AH99" s="182">
        <f t="shared" si="142"/>
        <v>0</v>
      </c>
      <c r="AI99" s="182">
        <v>0</v>
      </c>
      <c r="AJ99" s="171">
        <f t="shared" si="143"/>
        <v>1.7540000000000013</v>
      </c>
      <c r="AK99" s="171">
        <f t="shared" si="144"/>
        <v>39.756</v>
      </c>
      <c r="AL99" s="171">
        <f t="shared" si="145"/>
        <v>2.537149097073828</v>
      </c>
      <c r="AM99" s="171">
        <f t="shared" si="146"/>
        <v>42.29314909707383</v>
      </c>
      <c r="AN99" s="81">
        <f t="shared" si="147"/>
        <v>42.29314909707383</v>
      </c>
      <c r="AO99" s="63">
        <f t="shared" si="148"/>
        <v>41.46</v>
      </c>
      <c r="AP99" s="63">
        <f t="shared" si="149"/>
        <v>41.46</v>
      </c>
      <c r="AQ99" s="63">
        <f t="shared" si="150"/>
        <v>0</v>
      </c>
      <c r="AR99" s="63">
        <f t="shared" si="151"/>
        <v>0.8331490970738287</v>
      </c>
      <c r="AS99" s="67">
        <f t="shared" si="113"/>
        <v>35.5763854636149</v>
      </c>
      <c r="AT99" s="65">
        <f ca="1" t="shared" si="114"/>
        <v>1.23</v>
      </c>
      <c r="AU99" s="66">
        <f ca="1" t="shared" si="152"/>
        <v>50.9958</v>
      </c>
      <c r="AV99" s="66">
        <f ca="1" t="shared" si="153"/>
        <v>42.29314909707383</v>
      </c>
      <c r="AW99" s="66">
        <f ca="1" t="shared" si="154"/>
        <v>8.702650902926173</v>
      </c>
      <c r="AX99" s="63">
        <f ca="1" t="shared" si="155"/>
        <v>0</v>
      </c>
      <c r="AY99" s="67">
        <f ca="1" t="shared" si="115"/>
        <v>40.943554787657774</v>
      </c>
      <c r="AZ99" s="65">
        <f ca="1" t="shared" si="156"/>
        <v>0.15086325533357092</v>
      </c>
      <c r="BA99" s="68">
        <f ca="1" t="shared" si="116"/>
        <v>-0.028043262664965707</v>
      </c>
      <c r="BB99" s="169">
        <f t="shared" si="157"/>
        <v>37.952</v>
      </c>
      <c r="BC99" s="169">
        <f t="shared" si="158"/>
        <v>37.952</v>
      </c>
      <c r="BD99" s="169">
        <v>0.09999999999999999</v>
      </c>
      <c r="BE99" s="171">
        <f t="shared" si="159"/>
        <v>0.049999999999999996</v>
      </c>
      <c r="BF99" s="182">
        <v>0</v>
      </c>
      <c r="BG99" s="182">
        <f t="shared" si="160"/>
        <v>0</v>
      </c>
      <c r="BH99" s="182">
        <f t="shared" si="161"/>
        <v>0</v>
      </c>
      <c r="BI99" s="169">
        <f t="shared" si="162"/>
        <v>0.8770000000000007</v>
      </c>
      <c r="BJ99" s="171">
        <f t="shared" si="163"/>
        <v>38.879</v>
      </c>
      <c r="BK99" s="171">
        <f t="shared" si="164"/>
        <v>0.7459472972889724</v>
      </c>
      <c r="BL99" s="171">
        <f t="shared" si="165"/>
        <v>39.62494729728897</v>
      </c>
      <c r="BM99" s="81">
        <f t="shared" si="166"/>
        <v>39.62494729728897</v>
      </c>
      <c r="BN99" s="63">
        <f t="shared" si="117"/>
        <v>41.46</v>
      </c>
      <c r="BO99" s="63">
        <f t="shared" si="167"/>
        <v>39.62494729728897</v>
      </c>
      <c r="BP99" s="63">
        <f t="shared" si="168"/>
        <v>1.8350527027110317</v>
      </c>
      <c r="BQ99" s="63">
        <f t="shared" si="169"/>
        <v>0</v>
      </c>
      <c r="BR99" s="67">
        <f t="shared" si="170"/>
        <v>36.044828926799376</v>
      </c>
      <c r="BS99" s="69">
        <f ca="1" t="shared" si="118"/>
        <v>1.23</v>
      </c>
      <c r="BT99" s="66">
        <f ca="1" t="shared" si="171"/>
        <v>50.9958</v>
      </c>
      <c r="BU99" s="66">
        <f ca="1" t="shared" si="172"/>
        <v>39.62494729728897</v>
      </c>
      <c r="BV99" s="66">
        <f ca="1" t="shared" si="173"/>
        <v>11.370852702711034</v>
      </c>
      <c r="BW99" s="63">
        <f ca="1" t="shared" si="174"/>
        <v>0</v>
      </c>
      <c r="BX99" s="67">
        <f ca="1" t="shared" si="119"/>
        <v>41.31516421064625</v>
      </c>
      <c r="BY99" s="65">
        <f ca="1" t="shared" si="175"/>
        <v>0.14621612699424902</v>
      </c>
      <c r="BZ99" s="68">
        <f ca="1" t="shared" si="120"/>
        <v>-0.019221647536429853</v>
      </c>
      <c r="CA99" s="81">
        <f t="shared" si="176"/>
        <v>41.46</v>
      </c>
      <c r="CB99" s="63">
        <f t="shared" si="177"/>
        <v>41.46</v>
      </c>
      <c r="CC99" s="67">
        <f t="shared" si="178"/>
        <v>35.90132553133049</v>
      </c>
      <c r="CD99" s="69">
        <f ca="1" t="shared" si="121"/>
        <v>1.23</v>
      </c>
      <c r="CE99" s="190">
        <f ca="1" t="shared" si="179"/>
        <v>50.9958</v>
      </c>
      <c r="CF99" s="70">
        <f ca="1" t="shared" si="180"/>
        <v>50.9958</v>
      </c>
      <c r="CG99" s="67">
        <f ca="1" t="shared" si="181"/>
        <v>39.30481757441425</v>
      </c>
      <c r="CH99" s="65">
        <f ca="1" t="shared" si="182"/>
        <v>0.09480129194989151</v>
      </c>
      <c r="CI99" s="65">
        <f ca="1" t="shared" si="122"/>
        <v>-0.06694515292325409</v>
      </c>
      <c r="CJ99" s="68">
        <f ca="1" t="shared" si="183"/>
        <v>-0.04865880784068055</v>
      </c>
      <c r="CL99" s="97">
        <f ca="1" t="shared" si="123"/>
        <v>18818158.709219903</v>
      </c>
      <c r="CM99" s="97">
        <f ca="1" t="shared" si="124"/>
        <v>18290436.14166624</v>
      </c>
      <c r="CN99" s="97">
        <f ca="1" t="shared" si="125"/>
        <v>18456442.695226684</v>
      </c>
      <c r="CO99" s="97">
        <f ca="1" t="shared" si="184"/>
        <v>17558374.196697116</v>
      </c>
      <c r="CQ99" s="97">
        <f t="shared" si="126"/>
        <v>13226372.262619894</v>
      </c>
      <c r="CR99" s="97">
        <f t="shared" si="127"/>
        <v>12920973.20597611</v>
      </c>
      <c r="CS99" s="97">
        <f t="shared" si="128"/>
        <v>13091106.999992693</v>
      </c>
      <c r="CT99" s="97">
        <f t="shared" si="185"/>
        <v>13038988.05919371</v>
      </c>
      <c r="CV99" s="97">
        <f ca="1" t="shared" si="129"/>
        <v>18818158.709219906</v>
      </c>
      <c r="CW99" s="97">
        <f ca="1" t="shared" si="186"/>
        <v>18290436.14166624</v>
      </c>
      <c r="CX99" s="97">
        <f ca="1" t="shared" si="187"/>
        <v>18290436.14166624</v>
      </c>
      <c r="CY99" s="97">
        <f ca="1" t="shared" si="188"/>
        <v>17558374.196697112</v>
      </c>
    </row>
    <row r="100" spans="2:103" ht="12.75">
      <c r="B100" s="14">
        <v>10259</v>
      </c>
      <c r="C100" s="15" t="s">
        <v>99</v>
      </c>
      <c r="D100" s="16">
        <f>RHWM!D87</f>
        <v>1</v>
      </c>
      <c r="E100" s="16">
        <f>RHWM!E87</f>
        <v>0</v>
      </c>
      <c r="F100" s="18">
        <f>RHWM!M87</f>
        <v>33.47</v>
      </c>
      <c r="G100" s="18">
        <f>RHWM!N87</f>
        <v>33.872</v>
      </c>
      <c r="H100" s="18">
        <f>RHWM!O87</f>
        <v>26.985</v>
      </c>
      <c r="I100" s="18">
        <v>6.485</v>
      </c>
      <c r="J100" s="18">
        <v>6.887</v>
      </c>
      <c r="K100" s="18">
        <v>0</v>
      </c>
      <c r="L100" s="18">
        <v>0</v>
      </c>
      <c r="M100" s="18">
        <v>6.485</v>
      </c>
      <c r="N100" s="18">
        <v>6.887</v>
      </c>
      <c r="O100" s="81">
        <f t="shared" si="130"/>
        <v>26.985</v>
      </c>
      <c r="P100" s="63">
        <f t="shared" si="131"/>
        <v>33.872</v>
      </c>
      <c r="Q100" s="63">
        <f t="shared" si="132"/>
        <v>26.985</v>
      </c>
      <c r="R100" s="63">
        <f t="shared" si="133"/>
        <v>6.8870000000000005</v>
      </c>
      <c r="S100" s="63">
        <f t="shared" si="134"/>
        <v>0</v>
      </c>
      <c r="T100" s="67">
        <f t="shared" si="109"/>
        <v>39.88022376703086</v>
      </c>
      <c r="U100" s="138">
        <f ca="1" t="shared" si="110"/>
        <v>1.34</v>
      </c>
      <c r="V100" s="66">
        <f ca="1" t="shared" si="111"/>
        <v>45.38848</v>
      </c>
      <c r="W100" s="66">
        <f ca="1" t="shared" si="135"/>
        <v>26.985</v>
      </c>
      <c r="X100" s="66">
        <f ca="1" t="shared" si="136"/>
        <v>18.403480000000002</v>
      </c>
      <c r="Y100" s="63">
        <f ca="1" t="shared" si="137"/>
        <v>0</v>
      </c>
      <c r="Z100" s="67">
        <f ca="1" t="shared" si="90"/>
        <v>46.34760749761012</v>
      </c>
      <c r="AA100" s="68">
        <f ca="1" t="shared" si="112"/>
        <v>0.16217019664583399</v>
      </c>
      <c r="AB100" s="169">
        <f t="shared" si="138"/>
        <v>26.985</v>
      </c>
      <c r="AC100" s="169">
        <f t="shared" si="139"/>
        <v>26.985</v>
      </c>
      <c r="AD100" s="169">
        <v>0</v>
      </c>
      <c r="AE100" s="171">
        <f t="shared" si="140"/>
        <v>0</v>
      </c>
      <c r="AF100" s="182">
        <v>0</v>
      </c>
      <c r="AG100" s="182">
        <f t="shared" si="141"/>
        <v>0</v>
      </c>
      <c r="AH100" s="182">
        <f t="shared" si="142"/>
        <v>0</v>
      </c>
      <c r="AI100" s="182">
        <v>0</v>
      </c>
      <c r="AJ100" s="171">
        <f t="shared" si="143"/>
        <v>3.4435000000000002</v>
      </c>
      <c r="AK100" s="171">
        <f t="shared" si="144"/>
        <v>30.4285</v>
      </c>
      <c r="AL100" s="171">
        <f t="shared" si="145"/>
        <v>1.94188654040424</v>
      </c>
      <c r="AM100" s="171">
        <f t="shared" si="146"/>
        <v>32.37038654040424</v>
      </c>
      <c r="AN100" s="81">
        <f t="shared" si="147"/>
        <v>32.37038654040424</v>
      </c>
      <c r="AO100" s="63">
        <f t="shared" si="148"/>
        <v>33.872</v>
      </c>
      <c r="AP100" s="63">
        <f t="shared" si="149"/>
        <v>32.37038654040424</v>
      </c>
      <c r="AQ100" s="63">
        <f t="shared" si="150"/>
        <v>1.5016134595957595</v>
      </c>
      <c r="AR100" s="63">
        <f t="shared" si="151"/>
        <v>0</v>
      </c>
      <c r="AS100" s="67">
        <f t="shared" si="113"/>
        <v>36.79744894713383</v>
      </c>
      <c r="AT100" s="65">
        <f ca="1" t="shared" si="114"/>
        <v>1.34</v>
      </c>
      <c r="AU100" s="66">
        <f ca="1" t="shared" si="152"/>
        <v>45.38848</v>
      </c>
      <c r="AV100" s="66">
        <f ca="1" t="shared" si="153"/>
        <v>32.37038654040424</v>
      </c>
      <c r="AW100" s="66">
        <f ca="1" t="shared" si="154"/>
        <v>13.018093459595761</v>
      </c>
      <c r="AX100" s="63">
        <f ca="1" t="shared" si="155"/>
        <v>0</v>
      </c>
      <c r="AY100" s="67">
        <f ca="1" t="shared" si="115"/>
        <v>44.04965437843996</v>
      </c>
      <c r="AZ100" s="65">
        <f ca="1" t="shared" si="156"/>
        <v>0.19708446207032537</v>
      </c>
      <c r="BA100" s="68">
        <f ca="1" t="shared" si="116"/>
        <v>-0.04958083584548889</v>
      </c>
      <c r="BB100" s="169">
        <f t="shared" si="157"/>
        <v>26.985</v>
      </c>
      <c r="BC100" s="169">
        <f t="shared" si="158"/>
        <v>26.985</v>
      </c>
      <c r="BD100" s="169">
        <v>0</v>
      </c>
      <c r="BE100" s="171">
        <f t="shared" si="159"/>
        <v>0</v>
      </c>
      <c r="BF100" s="182">
        <v>0</v>
      </c>
      <c r="BG100" s="182">
        <f t="shared" si="160"/>
        <v>0</v>
      </c>
      <c r="BH100" s="182">
        <f t="shared" si="161"/>
        <v>0</v>
      </c>
      <c r="BI100" s="169">
        <f t="shared" si="162"/>
        <v>1.7217500000000001</v>
      </c>
      <c r="BJ100" s="171">
        <f t="shared" si="163"/>
        <v>28.70675</v>
      </c>
      <c r="BK100" s="171">
        <f t="shared" si="164"/>
        <v>0.5507786356760772</v>
      </c>
      <c r="BL100" s="171">
        <f t="shared" si="165"/>
        <v>29.257528635676078</v>
      </c>
      <c r="BM100" s="81">
        <f t="shared" si="166"/>
        <v>29.257528635676078</v>
      </c>
      <c r="BN100" s="63">
        <f t="shared" si="117"/>
        <v>33.872</v>
      </c>
      <c r="BO100" s="63">
        <f t="shared" si="167"/>
        <v>29.257528635676078</v>
      </c>
      <c r="BP100" s="63">
        <f t="shared" si="168"/>
        <v>4.614471364323922</v>
      </c>
      <c r="BQ100" s="63">
        <f t="shared" si="169"/>
        <v>0</v>
      </c>
      <c r="BR100" s="67">
        <f t="shared" si="170"/>
        <v>38.650302100500724</v>
      </c>
      <c r="BS100" s="69">
        <f ca="1" t="shared" si="118"/>
        <v>1.34</v>
      </c>
      <c r="BT100" s="66">
        <f ca="1" t="shared" si="171"/>
        <v>45.38848</v>
      </c>
      <c r="BU100" s="66">
        <f ca="1" t="shared" si="172"/>
        <v>29.257528635676078</v>
      </c>
      <c r="BV100" s="66">
        <f ca="1" t="shared" si="173"/>
        <v>16.130951364323924</v>
      </c>
      <c r="BW100" s="63">
        <f ca="1" t="shared" si="174"/>
        <v>0</v>
      </c>
      <c r="BX100" s="67">
        <f ca="1" t="shared" si="119"/>
        <v>45.031167731908795</v>
      </c>
      <c r="BY100" s="65">
        <f ca="1" t="shared" si="175"/>
        <v>0.16509225761848323</v>
      </c>
      <c r="BZ100" s="68">
        <f ca="1" t="shared" si="120"/>
        <v>-0.028403618585257195</v>
      </c>
      <c r="CA100" s="81">
        <f t="shared" si="176"/>
        <v>33.872</v>
      </c>
      <c r="CB100" s="63">
        <f t="shared" si="177"/>
        <v>33.872</v>
      </c>
      <c r="CC100" s="67">
        <f t="shared" si="178"/>
        <v>35.90132553133049</v>
      </c>
      <c r="CD100" s="69">
        <f ca="1" t="shared" si="121"/>
        <v>1.34</v>
      </c>
      <c r="CE100" s="190">
        <f ca="1" t="shared" si="179"/>
        <v>45.38848</v>
      </c>
      <c r="CF100" s="70">
        <f ca="1" t="shared" si="180"/>
        <v>45.38848</v>
      </c>
      <c r="CG100" s="67">
        <f ca="1" t="shared" si="181"/>
        <v>39.30481757441425</v>
      </c>
      <c r="CH100" s="65">
        <f ca="1" t="shared" si="182"/>
        <v>0.09480129194989151</v>
      </c>
      <c r="CI100" s="65">
        <f ca="1" t="shared" si="122"/>
        <v>-0.15195584634134618</v>
      </c>
      <c r="CJ100" s="68">
        <f ca="1" t="shared" si="183"/>
        <v>-0.1271641497636955</v>
      </c>
      <c r="CL100" s="97">
        <f ca="1" t="shared" si="123"/>
        <v>18427951.714149393</v>
      </c>
      <c r="CM100" s="97">
        <f ca="1" t="shared" si="124"/>
        <v>17514278.465241555</v>
      </c>
      <c r="CN100" s="97">
        <f ca="1" t="shared" si="125"/>
        <v>17904531.202353157</v>
      </c>
      <c r="CO100" s="97">
        <f ca="1" t="shared" si="184"/>
        <v>15627716.715088362</v>
      </c>
      <c r="CQ100" s="97">
        <f t="shared" si="126"/>
        <v>11833208.949466975</v>
      </c>
      <c r="CR100" s="97">
        <f t="shared" si="127"/>
        <v>10918491.950858897</v>
      </c>
      <c r="CS100" s="97">
        <f t="shared" si="128"/>
        <v>11468268.166873887</v>
      </c>
      <c r="CT100" s="97">
        <f t="shared" si="185"/>
        <v>10652595.357959703</v>
      </c>
      <c r="CV100" s="97">
        <f ca="1" t="shared" si="129"/>
        <v>18427951.714149393</v>
      </c>
      <c r="CW100" s="97">
        <f ca="1" t="shared" si="186"/>
        <v>17514278.465241555</v>
      </c>
      <c r="CX100" s="97">
        <f ca="1" t="shared" si="187"/>
        <v>17514278.465241555</v>
      </c>
      <c r="CY100" s="97">
        <f ca="1" t="shared" si="188"/>
        <v>15627716.71508836</v>
      </c>
    </row>
    <row r="101" spans="2:103" ht="12.75">
      <c r="B101" s="14">
        <v>10260</v>
      </c>
      <c r="C101" s="15" t="s">
        <v>100</v>
      </c>
      <c r="D101" s="16">
        <f>RHWM!D88</f>
        <v>1</v>
      </c>
      <c r="E101" s="16">
        <f>RHWM!E88</f>
        <v>0</v>
      </c>
      <c r="F101" s="18">
        <f>RHWM!M88</f>
        <v>27.046</v>
      </c>
      <c r="G101" s="18">
        <f>RHWM!N88</f>
        <v>27.176</v>
      </c>
      <c r="H101" s="18">
        <f>RHWM!O88</f>
        <v>26.285</v>
      </c>
      <c r="I101" s="18">
        <v>0.761</v>
      </c>
      <c r="J101" s="18">
        <v>0.891</v>
      </c>
      <c r="K101" s="18">
        <v>0.761</v>
      </c>
      <c r="L101" s="18">
        <v>0.891</v>
      </c>
      <c r="M101" s="18">
        <v>0</v>
      </c>
      <c r="N101" s="18">
        <v>0</v>
      </c>
      <c r="O101" s="81">
        <f t="shared" si="130"/>
        <v>26.285</v>
      </c>
      <c r="P101" s="63">
        <f t="shared" si="131"/>
        <v>27.176</v>
      </c>
      <c r="Q101" s="63">
        <f t="shared" si="132"/>
        <v>26.285</v>
      </c>
      <c r="R101" s="63">
        <f t="shared" si="133"/>
        <v>0.8909999999999982</v>
      </c>
      <c r="S101" s="63">
        <f t="shared" si="134"/>
        <v>0</v>
      </c>
      <c r="T101" s="67">
        <f t="shared" si="109"/>
        <v>34.90547079941831</v>
      </c>
      <c r="U101" s="138">
        <f ca="1" t="shared" si="110"/>
        <v>1.01</v>
      </c>
      <c r="V101" s="66">
        <f ca="1" t="shared" si="111"/>
        <v>27.44776</v>
      </c>
      <c r="W101" s="66">
        <f ca="1" t="shared" si="135"/>
        <v>26.285</v>
      </c>
      <c r="X101" s="66">
        <f ca="1" t="shared" si="136"/>
        <v>1.1627599999999987</v>
      </c>
      <c r="Y101" s="63">
        <f ca="1" t="shared" si="137"/>
        <v>0</v>
      </c>
      <c r="Z101" s="67">
        <f ca="1" t="shared" si="90"/>
        <v>36.10410825188653</v>
      </c>
      <c r="AA101" s="68">
        <f ca="1" t="shared" si="112"/>
        <v>0.034339529736072016</v>
      </c>
      <c r="AB101" s="169">
        <f t="shared" si="138"/>
        <v>26.285</v>
      </c>
      <c r="AC101" s="169">
        <f t="shared" si="139"/>
        <v>26.285</v>
      </c>
      <c r="AD101" s="169">
        <v>0</v>
      </c>
      <c r="AE101" s="171">
        <f t="shared" si="140"/>
        <v>0</v>
      </c>
      <c r="AF101" s="182">
        <v>0</v>
      </c>
      <c r="AG101" s="182">
        <f t="shared" si="141"/>
        <v>0</v>
      </c>
      <c r="AH101" s="182">
        <f t="shared" si="142"/>
        <v>0</v>
      </c>
      <c r="AI101" s="182">
        <v>0</v>
      </c>
      <c r="AJ101" s="171">
        <f t="shared" si="143"/>
        <v>0.4454999999999991</v>
      </c>
      <c r="AK101" s="171">
        <f t="shared" si="144"/>
        <v>26.7305</v>
      </c>
      <c r="AL101" s="171">
        <f t="shared" si="145"/>
        <v>1.70588751230838</v>
      </c>
      <c r="AM101" s="171">
        <f t="shared" si="146"/>
        <v>28.43638751230838</v>
      </c>
      <c r="AN101" s="81">
        <f t="shared" si="147"/>
        <v>28.43638751230838</v>
      </c>
      <c r="AO101" s="63">
        <f t="shared" si="148"/>
        <v>27.176</v>
      </c>
      <c r="AP101" s="63">
        <f t="shared" si="149"/>
        <v>27.176</v>
      </c>
      <c r="AQ101" s="63">
        <f t="shared" si="150"/>
        <v>0</v>
      </c>
      <c r="AR101" s="63">
        <f t="shared" si="151"/>
        <v>1.2603875123083803</v>
      </c>
      <c r="AS101" s="67">
        <f t="shared" si="113"/>
        <v>35.5763854636149</v>
      </c>
      <c r="AT101" s="65">
        <f ca="1" t="shared" si="114"/>
        <v>1.01</v>
      </c>
      <c r="AU101" s="66">
        <f ca="1" t="shared" si="152"/>
        <v>27.44776</v>
      </c>
      <c r="AV101" s="66">
        <f ca="1" t="shared" si="153"/>
        <v>27.44776</v>
      </c>
      <c r="AW101" s="66">
        <f ca="1" t="shared" si="154"/>
        <v>0</v>
      </c>
      <c r="AX101" s="63">
        <f ca="1" t="shared" si="155"/>
        <v>0.9886275123083799</v>
      </c>
      <c r="AY101" s="67">
        <f ca="1" t="shared" si="115"/>
        <v>36.38031310262951</v>
      </c>
      <c r="AZ101" s="65">
        <f ca="1" t="shared" si="156"/>
        <v>0.0225972264618286</v>
      </c>
      <c r="BA101" s="68">
        <f ca="1" t="shared" si="116"/>
        <v>0.007650233286915276</v>
      </c>
      <c r="BB101" s="169">
        <f t="shared" si="157"/>
        <v>26.285</v>
      </c>
      <c r="BC101" s="169">
        <f t="shared" si="158"/>
        <v>26.285</v>
      </c>
      <c r="BD101" s="169">
        <v>0</v>
      </c>
      <c r="BE101" s="171">
        <f t="shared" si="159"/>
        <v>0</v>
      </c>
      <c r="BF101" s="182">
        <v>0</v>
      </c>
      <c r="BG101" s="182">
        <f t="shared" si="160"/>
        <v>0</v>
      </c>
      <c r="BH101" s="182">
        <f t="shared" si="161"/>
        <v>0</v>
      </c>
      <c r="BI101" s="169">
        <f t="shared" si="162"/>
        <v>0.22274999999999956</v>
      </c>
      <c r="BJ101" s="171">
        <f t="shared" si="163"/>
        <v>26.50775</v>
      </c>
      <c r="BK101" s="171">
        <f t="shared" si="164"/>
        <v>0.5085877844006214</v>
      </c>
      <c r="BL101" s="171">
        <f t="shared" si="165"/>
        <v>27.016337784400623</v>
      </c>
      <c r="BM101" s="81">
        <f t="shared" si="166"/>
        <v>27.016337784400623</v>
      </c>
      <c r="BN101" s="63">
        <f t="shared" si="117"/>
        <v>27.176</v>
      </c>
      <c r="BO101" s="63">
        <f t="shared" si="167"/>
        <v>27.016337784400623</v>
      </c>
      <c r="BP101" s="63">
        <f t="shared" si="168"/>
        <v>0.15966221559937566</v>
      </c>
      <c r="BQ101" s="63">
        <f t="shared" si="169"/>
        <v>0</v>
      </c>
      <c r="BR101" s="67">
        <f t="shared" si="170"/>
        <v>34.95739958021201</v>
      </c>
      <c r="BS101" s="69">
        <f ca="1" t="shared" si="118"/>
        <v>1.01</v>
      </c>
      <c r="BT101" s="66">
        <f ca="1" t="shared" si="171"/>
        <v>27.44776</v>
      </c>
      <c r="BU101" s="66">
        <f ca="1" t="shared" si="172"/>
        <v>27.016337784400623</v>
      </c>
      <c r="BV101" s="66">
        <f ca="1" t="shared" si="173"/>
        <v>0.4314222155993761</v>
      </c>
      <c r="BW101" s="63">
        <f ca="1" t="shared" si="174"/>
        <v>0</v>
      </c>
      <c r="BX101" s="67">
        <f ca="1" t="shared" si="119"/>
        <v>35.49908241896925</v>
      </c>
      <c r="BY101" s="65">
        <f ca="1" t="shared" si="175"/>
        <v>0.015495512974708303</v>
      </c>
      <c r="BZ101" s="68">
        <f ca="1" t="shared" si="120"/>
        <v>-0.01675781129106446</v>
      </c>
      <c r="CA101" s="81">
        <f t="shared" si="176"/>
        <v>27.176</v>
      </c>
      <c r="CB101" s="63">
        <f t="shared" si="177"/>
        <v>27.176</v>
      </c>
      <c r="CC101" s="67">
        <f t="shared" si="178"/>
        <v>35.90132553133049</v>
      </c>
      <c r="CD101" s="69">
        <f ca="1" t="shared" si="121"/>
        <v>1.01</v>
      </c>
      <c r="CE101" s="190">
        <f ca="1" t="shared" si="179"/>
        <v>27.44776</v>
      </c>
      <c r="CF101" s="70">
        <f ca="1" t="shared" si="180"/>
        <v>27.44776</v>
      </c>
      <c r="CG101" s="67">
        <f ca="1" t="shared" si="181"/>
        <v>39.30481757441425</v>
      </c>
      <c r="CH101" s="65">
        <f ca="1" t="shared" si="182"/>
        <v>0.09480129194989151</v>
      </c>
      <c r="CI101" s="65">
        <f ca="1" t="shared" si="122"/>
        <v>0.08865221930416944</v>
      </c>
      <c r="CJ101" s="68">
        <f ca="1" t="shared" si="183"/>
        <v>0.10720657820190227</v>
      </c>
      <c r="CL101" s="97">
        <f ca="1" t="shared" si="123"/>
        <v>8680957.629211375</v>
      </c>
      <c r="CM101" s="97">
        <f ca="1" t="shared" si="124"/>
        <v>8747368.980228672</v>
      </c>
      <c r="CN101" s="97">
        <f ca="1" t="shared" si="125"/>
        <v>8535483.779435325</v>
      </c>
      <c r="CO101" s="97">
        <f ca="1" t="shared" si="184"/>
        <v>9450543.788726427</v>
      </c>
      <c r="CQ101" s="97">
        <f t="shared" si="126"/>
        <v>8309657.812138129</v>
      </c>
      <c r="CR101" s="97">
        <f t="shared" si="127"/>
        <v>8469376.937906578</v>
      </c>
      <c r="CS101" s="97">
        <f t="shared" si="128"/>
        <v>8322020.069088533</v>
      </c>
      <c r="CT101" s="97">
        <f t="shared" si="185"/>
        <v>8546732.74232147</v>
      </c>
      <c r="CV101" s="97">
        <f ca="1" t="shared" si="129"/>
        <v>8680957.629211377</v>
      </c>
      <c r="CW101" s="97">
        <f ca="1" t="shared" si="186"/>
        <v>8747368.98022867</v>
      </c>
      <c r="CX101" s="97">
        <f ca="1" t="shared" si="187"/>
        <v>8747368.98022867</v>
      </c>
      <c r="CY101" s="97">
        <f ca="1" t="shared" si="188"/>
        <v>9450543.788726427</v>
      </c>
    </row>
    <row r="102" spans="2:103" ht="12.75">
      <c r="B102" s="14">
        <v>10273</v>
      </c>
      <c r="C102" s="15" t="s">
        <v>101</v>
      </c>
      <c r="D102" s="16">
        <f>RHWM!D89</f>
        <v>1</v>
      </c>
      <c r="E102" s="16">
        <f>RHWM!E89</f>
        <v>0</v>
      </c>
      <c r="F102" s="18">
        <f>RHWM!M89</f>
        <v>8.085</v>
      </c>
      <c r="G102" s="18">
        <f>RHWM!N89</f>
        <v>8.182</v>
      </c>
      <c r="H102" s="18">
        <f>RHWM!O89</f>
        <v>5.881</v>
      </c>
      <c r="I102" s="18">
        <v>2.204</v>
      </c>
      <c r="J102" s="18">
        <v>2.301</v>
      </c>
      <c r="K102" s="18">
        <v>0</v>
      </c>
      <c r="L102" s="18">
        <v>0</v>
      </c>
      <c r="M102" s="18">
        <v>2.204</v>
      </c>
      <c r="N102" s="18">
        <v>2.301</v>
      </c>
      <c r="O102" s="81">
        <f t="shared" si="130"/>
        <v>5.881</v>
      </c>
      <c r="P102" s="63">
        <f t="shared" si="131"/>
        <v>8.182</v>
      </c>
      <c r="Q102" s="63">
        <f t="shared" si="132"/>
        <v>5.881</v>
      </c>
      <c r="R102" s="63">
        <f t="shared" si="133"/>
        <v>2.301</v>
      </c>
      <c r="S102" s="63">
        <f t="shared" si="134"/>
        <v>0</v>
      </c>
      <c r="T102" s="67">
        <f t="shared" si="109"/>
        <v>42.152721461261706</v>
      </c>
      <c r="U102" s="138">
        <f ca="1" t="shared" si="110"/>
        <v>1.19</v>
      </c>
      <c r="V102" s="66">
        <f ca="1" t="shared" si="111"/>
        <v>9.73658</v>
      </c>
      <c r="W102" s="66">
        <f ca="1" t="shared" si="135"/>
        <v>5.881</v>
      </c>
      <c r="X102" s="66">
        <f ca="1" t="shared" si="136"/>
        <v>3.85558</v>
      </c>
      <c r="Y102" s="63">
        <f ca="1" t="shared" si="137"/>
        <v>0</v>
      </c>
      <c r="Z102" s="67">
        <f ca="1" t="shared" si="90"/>
        <v>46.08025950007083</v>
      </c>
      <c r="AA102" s="68">
        <f ca="1" t="shared" si="112"/>
        <v>0.09317400876283943</v>
      </c>
      <c r="AB102" s="169">
        <f t="shared" si="138"/>
        <v>5.881</v>
      </c>
      <c r="AC102" s="169">
        <f t="shared" si="139"/>
        <v>5.881</v>
      </c>
      <c r="AD102" s="169">
        <v>0</v>
      </c>
      <c r="AE102" s="171">
        <f t="shared" si="140"/>
        <v>0</v>
      </c>
      <c r="AF102" s="182">
        <v>0</v>
      </c>
      <c r="AG102" s="182">
        <f t="shared" si="141"/>
        <v>0</v>
      </c>
      <c r="AH102" s="182">
        <f t="shared" si="142"/>
        <v>0</v>
      </c>
      <c r="AI102" s="182">
        <v>0</v>
      </c>
      <c r="AJ102" s="171">
        <f t="shared" si="143"/>
        <v>1.1505</v>
      </c>
      <c r="AK102" s="171">
        <f t="shared" si="144"/>
        <v>7.0315</v>
      </c>
      <c r="AL102" s="171">
        <f t="shared" si="145"/>
        <v>0.44873638887399697</v>
      </c>
      <c r="AM102" s="171">
        <f t="shared" si="146"/>
        <v>7.4802363888739976</v>
      </c>
      <c r="AN102" s="81">
        <f t="shared" si="147"/>
        <v>7.4802363888739976</v>
      </c>
      <c r="AO102" s="63">
        <f t="shared" si="148"/>
        <v>8.182</v>
      </c>
      <c r="AP102" s="63">
        <f t="shared" si="149"/>
        <v>7.4802363888739976</v>
      </c>
      <c r="AQ102" s="63">
        <f t="shared" si="150"/>
        <v>0.7017636111260028</v>
      </c>
      <c r="AR102" s="63">
        <f t="shared" si="151"/>
        <v>0</v>
      </c>
      <c r="AS102" s="67">
        <f t="shared" si="113"/>
        <v>37.93877930381488</v>
      </c>
      <c r="AT102" s="65">
        <f ca="1" t="shared" si="114"/>
        <v>1.19</v>
      </c>
      <c r="AU102" s="66">
        <f ca="1" t="shared" si="152"/>
        <v>9.73658</v>
      </c>
      <c r="AV102" s="66">
        <f ca="1" t="shared" si="153"/>
        <v>7.4802363888739976</v>
      </c>
      <c r="AW102" s="66">
        <f ca="1" t="shared" si="154"/>
        <v>2.2563436111260025</v>
      </c>
      <c r="AX102" s="63">
        <f ca="1" t="shared" si="155"/>
        <v>0</v>
      </c>
      <c r="AY102" s="67">
        <f ca="1" t="shared" si="115"/>
        <v>42.57693673170579</v>
      </c>
      <c r="AZ102" s="65">
        <f ca="1" t="shared" si="156"/>
        <v>0.12225373385760263</v>
      </c>
      <c r="BA102" s="68">
        <f ca="1" t="shared" si="116"/>
        <v>-0.07602654165521039</v>
      </c>
      <c r="BB102" s="169">
        <f t="shared" si="157"/>
        <v>5.881</v>
      </c>
      <c r="BC102" s="169">
        <f t="shared" si="158"/>
        <v>5.881</v>
      </c>
      <c r="BD102" s="169">
        <v>0</v>
      </c>
      <c r="BE102" s="171">
        <f t="shared" si="159"/>
        <v>0</v>
      </c>
      <c r="BF102" s="182">
        <v>0</v>
      </c>
      <c r="BG102" s="182">
        <f t="shared" si="160"/>
        <v>0</v>
      </c>
      <c r="BH102" s="182">
        <f t="shared" si="161"/>
        <v>0</v>
      </c>
      <c r="BI102" s="169">
        <f t="shared" si="162"/>
        <v>0.57525</v>
      </c>
      <c r="BJ102" s="171">
        <f t="shared" si="163"/>
        <v>6.456250000000001</v>
      </c>
      <c r="BK102" s="171">
        <f t="shared" si="164"/>
        <v>0.12387207073540801</v>
      </c>
      <c r="BL102" s="171">
        <f t="shared" si="165"/>
        <v>6.580122070735409</v>
      </c>
      <c r="BM102" s="81">
        <f t="shared" si="166"/>
        <v>6.580122070735409</v>
      </c>
      <c r="BN102" s="63">
        <f t="shared" si="117"/>
        <v>8.182</v>
      </c>
      <c r="BO102" s="63">
        <f t="shared" si="167"/>
        <v>6.580122070735409</v>
      </c>
      <c r="BP102" s="63">
        <f t="shared" si="168"/>
        <v>1.6018779292645915</v>
      </c>
      <c r="BQ102" s="63">
        <f t="shared" si="169"/>
        <v>0</v>
      </c>
      <c r="BR102" s="67">
        <f t="shared" si="170"/>
        <v>40.33724264147051</v>
      </c>
      <c r="BS102" s="69">
        <f ca="1" t="shared" si="118"/>
        <v>1.19</v>
      </c>
      <c r="BT102" s="66">
        <f ca="1" t="shared" si="171"/>
        <v>9.73658</v>
      </c>
      <c r="BU102" s="66">
        <f ca="1" t="shared" si="172"/>
        <v>6.580122070735409</v>
      </c>
      <c r="BV102" s="66">
        <f ca="1" t="shared" si="173"/>
        <v>3.156457929264591</v>
      </c>
      <c r="BW102" s="63">
        <f ca="1" t="shared" si="174"/>
        <v>0</v>
      </c>
      <c r="BX102" s="67">
        <f ca="1" t="shared" si="119"/>
        <v>44.15529699328048</v>
      </c>
      <c r="BY102" s="65">
        <f ca="1" t="shared" si="175"/>
        <v>0.09465333031674916</v>
      </c>
      <c r="BZ102" s="68">
        <f ca="1" t="shared" si="120"/>
        <v>-0.04177412470490516</v>
      </c>
      <c r="CA102" s="81">
        <f t="shared" si="176"/>
        <v>8.182</v>
      </c>
      <c r="CB102" s="63">
        <f t="shared" si="177"/>
        <v>8.182</v>
      </c>
      <c r="CC102" s="67">
        <f t="shared" si="178"/>
        <v>35.90132553133049</v>
      </c>
      <c r="CD102" s="69">
        <f ca="1" t="shared" si="121"/>
        <v>1.19</v>
      </c>
      <c r="CE102" s="190">
        <f ca="1" t="shared" si="179"/>
        <v>9.73658</v>
      </c>
      <c r="CF102" s="70">
        <f ca="1" t="shared" si="180"/>
        <v>9.73658</v>
      </c>
      <c r="CG102" s="67">
        <f ca="1" t="shared" si="181"/>
        <v>39.30481757441425</v>
      </c>
      <c r="CH102" s="65">
        <f ca="1" t="shared" si="182"/>
        <v>0.09480129194989151</v>
      </c>
      <c r="CI102" s="65">
        <f ca="1" t="shared" si="122"/>
        <v>-0.14703567208961066</v>
      </c>
      <c r="CJ102" s="68">
        <f ca="1" t="shared" si="183"/>
        <v>-0.10985045394676818</v>
      </c>
      <c r="CL102" s="97">
        <f ca="1" t="shared" si="123"/>
        <v>3930297.805458429</v>
      </c>
      <c r="CM102" s="97">
        <f ca="1" t="shared" si="124"/>
        <v>3631490.8556343624</v>
      </c>
      <c r="CN102" s="97">
        <f ca="1" t="shared" si="125"/>
        <v>3766113.054805793</v>
      </c>
      <c r="CO102" s="97">
        <f ca="1" t="shared" si="184"/>
        <v>3352403.826120527</v>
      </c>
      <c r="CQ102" s="97">
        <f t="shared" si="126"/>
        <v>3021267.646885339</v>
      </c>
      <c r="CR102" s="97">
        <f t="shared" si="127"/>
        <v>2719236.208231005</v>
      </c>
      <c r="CS102" s="97">
        <f t="shared" si="128"/>
        <v>2891144.4370024027</v>
      </c>
      <c r="CT102" s="97">
        <f t="shared" si="185"/>
        <v>2573203.094556752</v>
      </c>
      <c r="CV102" s="97">
        <f ca="1" t="shared" si="129"/>
        <v>3930297.805458429</v>
      </c>
      <c r="CW102" s="97">
        <f ca="1" t="shared" si="186"/>
        <v>3631490.8556343615</v>
      </c>
      <c r="CX102" s="97">
        <f ca="1" t="shared" si="187"/>
        <v>3631490.8556343615</v>
      </c>
      <c r="CY102" s="97">
        <f ca="1" t="shared" si="188"/>
        <v>3352403.826120527</v>
      </c>
    </row>
    <row r="103" spans="2:103" ht="12.75">
      <c r="B103" s="14">
        <v>10278</v>
      </c>
      <c r="C103" s="15" t="s">
        <v>102</v>
      </c>
      <c r="D103" s="16">
        <f>RHWM!D90</f>
        <v>0</v>
      </c>
      <c r="E103" s="16">
        <f>RHWM!E90</f>
        <v>1</v>
      </c>
      <c r="F103" s="18">
        <f>RHWM!M90</f>
        <v>39.534</v>
      </c>
      <c r="G103" s="18">
        <f>RHWM!N90</f>
        <v>40.108</v>
      </c>
      <c r="H103" s="18">
        <f>RHWM!O90</f>
        <v>35.928</v>
      </c>
      <c r="I103" s="18">
        <v>3.606</v>
      </c>
      <c r="J103" s="18">
        <v>4.18</v>
      </c>
      <c r="K103" s="18">
        <v>0</v>
      </c>
      <c r="L103" s="18">
        <v>0</v>
      </c>
      <c r="M103" s="18">
        <v>3.606</v>
      </c>
      <c r="N103" s="18">
        <v>4.18</v>
      </c>
      <c r="O103" s="81">
        <f t="shared" si="130"/>
        <v>35.928</v>
      </c>
      <c r="P103" s="63">
        <f t="shared" si="131"/>
        <v>40.108</v>
      </c>
      <c r="Q103" s="63">
        <f t="shared" si="132"/>
        <v>35.928</v>
      </c>
      <c r="R103" s="63">
        <f t="shared" si="133"/>
        <v>4.18</v>
      </c>
      <c r="S103" s="63">
        <f t="shared" si="134"/>
        <v>0</v>
      </c>
      <c r="T103" s="67">
        <f t="shared" si="109"/>
        <v>36.98921864067614</v>
      </c>
      <c r="U103" s="138">
        <f ca="1" t="shared" si="110"/>
        <v>1.27</v>
      </c>
      <c r="V103" s="66">
        <f ca="1" t="shared" si="111"/>
        <v>50.93716</v>
      </c>
      <c r="W103" s="66">
        <f ca="1" t="shared" si="135"/>
        <v>35.928</v>
      </c>
      <c r="X103" s="66">
        <f ca="1" t="shared" si="136"/>
        <v>15.009160000000001</v>
      </c>
      <c r="Y103" s="63">
        <f ca="1" t="shared" si="137"/>
        <v>0</v>
      </c>
      <c r="Z103" s="67">
        <f ca="1" t="shared" si="90"/>
        <v>43.2216736890926</v>
      </c>
      <c r="AA103" s="68">
        <f ca="1" t="shared" si="112"/>
        <v>0.16849382813301106</v>
      </c>
      <c r="AB103" s="169">
        <f t="shared" si="138"/>
        <v>35.928</v>
      </c>
      <c r="AC103" s="169">
        <f t="shared" si="139"/>
        <v>35.928</v>
      </c>
      <c r="AD103" s="169">
        <v>0.07250000000000001</v>
      </c>
      <c r="AE103" s="171">
        <f t="shared" si="140"/>
        <v>0.036250000000000004</v>
      </c>
      <c r="AF103" s="182">
        <v>0</v>
      </c>
      <c r="AG103" s="182">
        <f t="shared" si="141"/>
        <v>0</v>
      </c>
      <c r="AH103" s="182">
        <f t="shared" si="142"/>
        <v>0</v>
      </c>
      <c r="AI103" s="182">
        <v>0</v>
      </c>
      <c r="AJ103" s="171">
        <f t="shared" si="143"/>
        <v>2.09</v>
      </c>
      <c r="AK103" s="171">
        <f t="shared" si="144"/>
        <v>38.054249999999996</v>
      </c>
      <c r="AL103" s="171">
        <f t="shared" si="145"/>
        <v>2.4285467860781194</v>
      </c>
      <c r="AM103" s="171">
        <f t="shared" si="146"/>
        <v>40.48279678607812</v>
      </c>
      <c r="AN103" s="81">
        <f t="shared" si="147"/>
        <v>40.48279678607812</v>
      </c>
      <c r="AO103" s="63">
        <f t="shared" si="148"/>
        <v>40.108</v>
      </c>
      <c r="AP103" s="63">
        <f t="shared" si="149"/>
        <v>40.108</v>
      </c>
      <c r="AQ103" s="63">
        <f t="shared" si="150"/>
        <v>0</v>
      </c>
      <c r="AR103" s="63">
        <f t="shared" si="151"/>
        <v>0.3747967860781216</v>
      </c>
      <c r="AS103" s="67">
        <f t="shared" si="113"/>
        <v>35.5763854636149</v>
      </c>
      <c r="AT103" s="65">
        <f ca="1" t="shared" si="114"/>
        <v>1.27</v>
      </c>
      <c r="AU103" s="66">
        <f ca="1" t="shared" si="152"/>
        <v>50.93716</v>
      </c>
      <c r="AV103" s="66">
        <f ca="1" t="shared" si="153"/>
        <v>40.48279678607812</v>
      </c>
      <c r="AW103" s="66">
        <f ca="1" t="shared" si="154"/>
        <v>10.45436321392188</v>
      </c>
      <c r="AX103" s="63">
        <f ca="1" t="shared" si="155"/>
        <v>0</v>
      </c>
      <c r="AY103" s="67">
        <f ca="1" t="shared" si="115"/>
        <v>41.868377200660476</v>
      </c>
      <c r="AZ103" s="65">
        <f ca="1" t="shared" si="156"/>
        <v>0.176858656523176</v>
      </c>
      <c r="BA103" s="68">
        <f ca="1" t="shared" si="116"/>
        <v>-0.03131059889459209</v>
      </c>
      <c r="BB103" s="169">
        <f t="shared" si="157"/>
        <v>35.928</v>
      </c>
      <c r="BC103" s="169">
        <f t="shared" si="158"/>
        <v>35.928</v>
      </c>
      <c r="BD103" s="169">
        <v>0.07250000000000001</v>
      </c>
      <c r="BE103" s="171">
        <f t="shared" si="159"/>
        <v>0.036250000000000004</v>
      </c>
      <c r="BF103" s="182">
        <v>0</v>
      </c>
      <c r="BG103" s="182">
        <f t="shared" si="160"/>
        <v>0</v>
      </c>
      <c r="BH103" s="182">
        <f t="shared" si="161"/>
        <v>0</v>
      </c>
      <c r="BI103" s="169">
        <f t="shared" si="162"/>
        <v>1.045</v>
      </c>
      <c r="BJ103" s="171">
        <f t="shared" si="163"/>
        <v>37.00925</v>
      </c>
      <c r="BK103" s="171">
        <f t="shared" si="164"/>
        <v>0.7100735618763832</v>
      </c>
      <c r="BL103" s="171">
        <f t="shared" si="165"/>
        <v>37.71932356187639</v>
      </c>
      <c r="BM103" s="81">
        <f t="shared" si="166"/>
        <v>37.71932356187639</v>
      </c>
      <c r="BN103" s="63">
        <f t="shared" si="117"/>
        <v>40.108</v>
      </c>
      <c r="BO103" s="63">
        <f t="shared" si="167"/>
        <v>37.71932356187639</v>
      </c>
      <c r="BP103" s="63">
        <f t="shared" si="168"/>
        <v>2.3886764381236105</v>
      </c>
      <c r="BQ103" s="63">
        <f t="shared" si="169"/>
        <v>0</v>
      </c>
      <c r="BR103" s="67">
        <f t="shared" si="170"/>
        <v>36.47813035687049</v>
      </c>
      <c r="BS103" s="69">
        <f ca="1" t="shared" si="118"/>
        <v>1.27</v>
      </c>
      <c r="BT103" s="66">
        <f ca="1" t="shared" si="171"/>
        <v>50.93716</v>
      </c>
      <c r="BU103" s="66">
        <f ca="1" t="shared" si="172"/>
        <v>37.71932356187639</v>
      </c>
      <c r="BV103" s="66">
        <f ca="1" t="shared" si="173"/>
        <v>13.217836438123612</v>
      </c>
      <c r="BW103" s="63">
        <f ca="1" t="shared" si="174"/>
        <v>0</v>
      </c>
      <c r="BX103" s="67">
        <f ca="1" t="shared" si="119"/>
        <v>42.33989677953108</v>
      </c>
      <c r="BY103" s="65">
        <f ca="1" t="shared" si="175"/>
        <v>0.16069262227296566</v>
      </c>
      <c r="BZ103" s="68">
        <f ca="1" t="shared" si="120"/>
        <v>-0.02040126710280632</v>
      </c>
      <c r="CA103" s="81">
        <f t="shared" si="176"/>
        <v>40.108</v>
      </c>
      <c r="CB103" s="63">
        <f t="shared" si="177"/>
        <v>40.108</v>
      </c>
      <c r="CC103" s="67">
        <f t="shared" si="178"/>
        <v>35.90132553133049</v>
      </c>
      <c r="CD103" s="69">
        <f ca="1" t="shared" si="121"/>
        <v>1.27</v>
      </c>
      <c r="CE103" s="190">
        <f ca="1" t="shared" si="179"/>
        <v>50.93716</v>
      </c>
      <c r="CF103" s="70">
        <f ca="1" t="shared" si="180"/>
        <v>50.93716</v>
      </c>
      <c r="CG103" s="67">
        <f ca="1" t="shared" si="181"/>
        <v>39.30481757441425</v>
      </c>
      <c r="CH103" s="65">
        <f ca="1" t="shared" si="182"/>
        <v>0.09480129194989151</v>
      </c>
      <c r="CI103" s="65">
        <f ca="1" t="shared" si="122"/>
        <v>-0.09062249978687897</v>
      </c>
      <c r="CJ103" s="68">
        <f ca="1" t="shared" si="183"/>
        <v>-0.07168367039062118</v>
      </c>
      <c r="CL103" s="97">
        <f ca="1" t="shared" si="123"/>
        <v>19285922.339561313</v>
      </c>
      <c r="CM103" s="97">
        <f ca="1" t="shared" si="124"/>
        <v>18682068.56087506</v>
      </c>
      <c r="CN103" s="97">
        <f ca="1" t="shared" si="125"/>
        <v>18892465.086587943</v>
      </c>
      <c r="CO103" s="97">
        <f ca="1" t="shared" si="184"/>
        <v>17538183.846454654</v>
      </c>
      <c r="CQ103" s="97">
        <f t="shared" si="126"/>
        <v>12996016.971664488</v>
      </c>
      <c r="CR103" s="97">
        <f t="shared" si="127"/>
        <v>12499623.573210075</v>
      </c>
      <c r="CS103" s="97">
        <f t="shared" si="128"/>
        <v>12816448.106615447</v>
      </c>
      <c r="CT103" s="97">
        <f t="shared" si="185"/>
        <v>12613789.992236884</v>
      </c>
      <c r="CV103" s="97">
        <f ca="1" t="shared" si="129"/>
        <v>19285922.339561317</v>
      </c>
      <c r="CW103" s="97">
        <f ca="1" t="shared" si="186"/>
        <v>18682068.56087506</v>
      </c>
      <c r="CX103" s="97">
        <f ca="1" t="shared" si="187"/>
        <v>18682068.56087506</v>
      </c>
      <c r="CY103" s="97">
        <f ca="1" t="shared" si="188"/>
        <v>17538183.846454654</v>
      </c>
    </row>
    <row r="104" spans="2:103" ht="12.75">
      <c r="B104" s="14">
        <v>10279</v>
      </c>
      <c r="C104" s="15" t="s">
        <v>103</v>
      </c>
      <c r="D104" s="16">
        <f>RHWM!D91</f>
        <v>1</v>
      </c>
      <c r="E104" s="16">
        <f>RHWM!E91</f>
        <v>0</v>
      </c>
      <c r="F104" s="18">
        <f>RHWM!M91</f>
        <v>77.627</v>
      </c>
      <c r="G104" s="18">
        <f>RHWM!N91</f>
        <v>77.593</v>
      </c>
      <c r="H104" s="18">
        <f>RHWM!O91</f>
        <v>64.765</v>
      </c>
      <c r="I104" s="18">
        <f>MAX(F104-$H104,0)</f>
        <v>12.861999999999995</v>
      </c>
      <c r="J104" s="18">
        <f>MAX(G104-$H104,0)</f>
        <v>12.828000000000003</v>
      </c>
      <c r="K104" s="18">
        <v>0</v>
      </c>
      <c r="L104" s="18">
        <v>0</v>
      </c>
      <c r="M104" s="18">
        <f>I104</f>
        <v>12.861999999999995</v>
      </c>
      <c r="N104" s="18">
        <f>J104</f>
        <v>12.828000000000003</v>
      </c>
      <c r="O104" s="81">
        <f t="shared" si="130"/>
        <v>64.765</v>
      </c>
      <c r="P104" s="63">
        <f t="shared" si="131"/>
        <v>77.593</v>
      </c>
      <c r="Q104" s="63">
        <f t="shared" si="132"/>
        <v>64.765</v>
      </c>
      <c r="R104" s="63">
        <f t="shared" si="133"/>
        <v>12.828000000000003</v>
      </c>
      <c r="S104" s="63">
        <f t="shared" si="134"/>
        <v>0</v>
      </c>
      <c r="T104" s="67">
        <f t="shared" si="109"/>
        <v>38.77172564165273</v>
      </c>
      <c r="U104" s="138">
        <f ca="1" t="shared" si="110"/>
        <v>1.07</v>
      </c>
      <c r="V104" s="66">
        <f ca="1" t="shared" si="111"/>
        <v>83.02451</v>
      </c>
      <c r="W104" s="66">
        <f ca="1" t="shared" si="135"/>
        <v>64.765</v>
      </c>
      <c r="X104" s="66">
        <f ca="1" t="shared" si="136"/>
        <v>18.259510000000006</v>
      </c>
      <c r="Y104" s="63">
        <f ca="1" t="shared" si="137"/>
        <v>0</v>
      </c>
      <c r="Z104" s="67">
        <f ca="1" t="shared" si="90"/>
        <v>41.11343380724035</v>
      </c>
      <c r="AA104" s="68">
        <f ca="1" t="shared" si="112"/>
        <v>0.06039731600369902</v>
      </c>
      <c r="AB104" s="169">
        <f t="shared" si="138"/>
        <v>64.765</v>
      </c>
      <c r="AC104" s="169">
        <f t="shared" si="139"/>
        <v>64.765</v>
      </c>
      <c r="AD104" s="169">
        <v>0.2935</v>
      </c>
      <c r="AE104" s="171">
        <f t="shared" si="140"/>
        <v>0.14675</v>
      </c>
      <c r="AF104" s="182">
        <v>0</v>
      </c>
      <c r="AG104" s="182">
        <f t="shared" si="141"/>
        <v>0</v>
      </c>
      <c r="AH104" s="182">
        <f t="shared" si="142"/>
        <v>0</v>
      </c>
      <c r="AI104" s="182">
        <v>0</v>
      </c>
      <c r="AJ104" s="171">
        <f t="shared" si="143"/>
        <v>6.4140000000000015</v>
      </c>
      <c r="AK104" s="171">
        <f t="shared" si="144"/>
        <v>71.32575</v>
      </c>
      <c r="AL104" s="171">
        <f t="shared" si="145"/>
        <v>4.5518679497588685</v>
      </c>
      <c r="AM104" s="171">
        <f t="shared" si="146"/>
        <v>75.87761794975887</v>
      </c>
      <c r="AN104" s="81">
        <f t="shared" si="147"/>
        <v>75.87761794975887</v>
      </c>
      <c r="AO104" s="63">
        <f t="shared" si="148"/>
        <v>77.593</v>
      </c>
      <c r="AP104" s="63">
        <f t="shared" si="149"/>
        <v>75.87761794975887</v>
      </c>
      <c r="AQ104" s="63">
        <f t="shared" si="150"/>
        <v>1.715382050241132</v>
      </c>
      <c r="AR104" s="63">
        <f t="shared" si="151"/>
        <v>0</v>
      </c>
      <c r="AS104" s="67">
        <f t="shared" si="113"/>
        <v>36.18530407707843</v>
      </c>
      <c r="AT104" s="65">
        <f ca="1" t="shared" si="114"/>
        <v>1.07</v>
      </c>
      <c r="AU104" s="66">
        <f ca="1" t="shared" si="152"/>
        <v>83.02451</v>
      </c>
      <c r="AV104" s="66">
        <f ca="1" t="shared" si="153"/>
        <v>75.87761794975887</v>
      </c>
      <c r="AW104" s="66">
        <f ca="1" t="shared" si="154"/>
        <v>7.146892050241135</v>
      </c>
      <c r="AX104" s="63">
        <f ca="1" t="shared" si="155"/>
        <v>0</v>
      </c>
      <c r="AY104" s="67">
        <f ca="1" t="shared" si="115"/>
        <v>38.68211115856208</v>
      </c>
      <c r="AZ104" s="65">
        <f ca="1" t="shared" si="156"/>
        <v>0.06900058311421664</v>
      </c>
      <c r="BA104" s="68">
        <f ca="1" t="shared" si="116"/>
        <v>-0.059136939523890986</v>
      </c>
      <c r="BB104" s="169">
        <f t="shared" si="157"/>
        <v>64.765</v>
      </c>
      <c r="BC104" s="169">
        <f t="shared" si="158"/>
        <v>64.765</v>
      </c>
      <c r="BD104" s="169">
        <v>0.2935</v>
      </c>
      <c r="BE104" s="171">
        <f t="shared" si="159"/>
        <v>0.14675</v>
      </c>
      <c r="BF104" s="182">
        <v>0</v>
      </c>
      <c r="BG104" s="182">
        <f t="shared" si="160"/>
        <v>0</v>
      </c>
      <c r="BH104" s="182">
        <f t="shared" si="161"/>
        <v>0</v>
      </c>
      <c r="BI104" s="169">
        <f t="shared" si="162"/>
        <v>3.2070000000000007</v>
      </c>
      <c r="BJ104" s="171">
        <f t="shared" si="163"/>
        <v>68.11875</v>
      </c>
      <c r="BK104" s="171">
        <f t="shared" si="164"/>
        <v>1.3069522739063038</v>
      </c>
      <c r="BL104" s="171">
        <f t="shared" si="165"/>
        <v>69.42570227390631</v>
      </c>
      <c r="BM104" s="81">
        <f t="shared" si="166"/>
        <v>69.42570227390631</v>
      </c>
      <c r="BN104" s="63">
        <f t="shared" si="117"/>
        <v>77.593</v>
      </c>
      <c r="BO104" s="63">
        <f t="shared" si="167"/>
        <v>69.42570227390631</v>
      </c>
      <c r="BP104" s="63">
        <f t="shared" si="168"/>
        <v>8.167297726093693</v>
      </c>
      <c r="BQ104" s="63">
        <f t="shared" si="169"/>
        <v>0</v>
      </c>
      <c r="BR104" s="67">
        <f t="shared" si="170"/>
        <v>37.772825912331925</v>
      </c>
      <c r="BS104" s="69">
        <f ca="1" t="shared" si="118"/>
        <v>1.07</v>
      </c>
      <c r="BT104" s="66">
        <f ca="1" t="shared" si="171"/>
        <v>83.02451</v>
      </c>
      <c r="BU104" s="66">
        <f ca="1" t="shared" si="172"/>
        <v>69.42570227390631</v>
      </c>
      <c r="BV104" s="66">
        <f ca="1" t="shared" si="173"/>
        <v>13.598807726093696</v>
      </c>
      <c r="BW104" s="63">
        <f ca="1" t="shared" si="174"/>
        <v>0</v>
      </c>
      <c r="BX104" s="67">
        <f ca="1" t="shared" si="119"/>
        <v>39.65435520366158</v>
      </c>
      <c r="BY104" s="65">
        <f ca="1" t="shared" si="175"/>
        <v>0.04981171638300386</v>
      </c>
      <c r="BZ104" s="68">
        <f ca="1" t="shared" si="120"/>
        <v>-0.0354890961046852</v>
      </c>
      <c r="CA104" s="81">
        <f t="shared" si="176"/>
        <v>77.593</v>
      </c>
      <c r="CB104" s="63">
        <f t="shared" si="177"/>
        <v>77.593</v>
      </c>
      <c r="CC104" s="67">
        <f t="shared" si="178"/>
        <v>35.90132553133049</v>
      </c>
      <c r="CD104" s="69">
        <f ca="1" t="shared" si="121"/>
        <v>1.07</v>
      </c>
      <c r="CE104" s="190">
        <f ca="1" t="shared" si="179"/>
        <v>83.02451</v>
      </c>
      <c r="CF104" s="70">
        <f ca="1" t="shared" si="180"/>
        <v>83.02451</v>
      </c>
      <c r="CG104" s="67">
        <f ca="1" t="shared" si="181"/>
        <v>39.30481757441425</v>
      </c>
      <c r="CH104" s="65">
        <f ca="1" t="shared" si="182"/>
        <v>0.09480129194989151</v>
      </c>
      <c r="CI104" s="65">
        <f ca="1" t="shared" si="122"/>
        <v>-0.043990882428010414</v>
      </c>
      <c r="CJ104" s="68">
        <f ca="1" t="shared" si="183"/>
        <v>-0.008814608822968695</v>
      </c>
      <c r="CL104" s="97">
        <f ca="1" t="shared" si="123"/>
        <v>29901582.819268826</v>
      </c>
      <c r="CM104" s="97">
        <f ca="1" t="shared" si="124"/>
        <v>28133294.724417105</v>
      </c>
      <c r="CN104" s="97">
        <f ca="1" t="shared" si="125"/>
        <v>28840402.67291359</v>
      </c>
      <c r="CO104" s="97">
        <f ca="1" t="shared" si="184"/>
        <v>28586185.805054955</v>
      </c>
      <c r="CQ104" s="97">
        <f t="shared" si="126"/>
        <v>26353711.087563783</v>
      </c>
      <c r="CR104" s="97">
        <f t="shared" si="127"/>
        <v>24595682.38145406</v>
      </c>
      <c r="CS104" s="97">
        <f t="shared" si="128"/>
        <v>25674744.27769641</v>
      </c>
      <c r="CT104" s="97">
        <f t="shared" si="185"/>
        <v>24402657.995104138</v>
      </c>
      <c r="CV104" s="97">
        <f ca="1" t="shared" si="129"/>
        <v>29901582.81926883</v>
      </c>
      <c r="CW104" s="97">
        <f ca="1" t="shared" si="186"/>
        <v>28133294.72441711</v>
      </c>
      <c r="CX104" s="97">
        <f ca="1" t="shared" si="187"/>
        <v>28133294.72441711</v>
      </c>
      <c r="CY104" s="97">
        <f ca="1" t="shared" si="188"/>
        <v>28586185.805054955</v>
      </c>
    </row>
    <row r="105" spans="2:103" ht="12.75">
      <c r="B105" s="14">
        <v>10284</v>
      </c>
      <c r="C105" s="15" t="s">
        <v>104</v>
      </c>
      <c r="D105" s="16">
        <f>RHWM!D92</f>
        <v>1</v>
      </c>
      <c r="E105" s="16">
        <f>RHWM!E92</f>
        <v>0</v>
      </c>
      <c r="F105" s="18">
        <f>RHWM!M92</f>
        <v>10.849</v>
      </c>
      <c r="G105" s="18">
        <f>RHWM!N92</f>
        <v>10.997</v>
      </c>
      <c r="H105" s="18">
        <f>RHWM!O92</f>
        <v>10.158</v>
      </c>
      <c r="I105" s="18">
        <v>0.691</v>
      </c>
      <c r="J105" s="18">
        <v>0.839</v>
      </c>
      <c r="K105" s="18">
        <v>0.691</v>
      </c>
      <c r="L105" s="18">
        <v>0.839</v>
      </c>
      <c r="M105" s="18">
        <v>0</v>
      </c>
      <c r="N105" s="18">
        <v>0</v>
      </c>
      <c r="O105" s="81">
        <f t="shared" si="130"/>
        <v>10.158</v>
      </c>
      <c r="P105" s="63">
        <f t="shared" si="131"/>
        <v>10.997</v>
      </c>
      <c r="Q105" s="63">
        <f t="shared" si="132"/>
        <v>10.158</v>
      </c>
      <c r="R105" s="63">
        <f t="shared" si="133"/>
        <v>0.8390000000000004</v>
      </c>
      <c r="S105" s="63">
        <f t="shared" si="134"/>
        <v>0</v>
      </c>
      <c r="T105" s="67">
        <f t="shared" si="109"/>
        <v>36.17461806823802</v>
      </c>
      <c r="U105" s="138">
        <f ca="1" t="shared" si="110"/>
        <v>1.39</v>
      </c>
      <c r="V105" s="66">
        <f ca="1" t="shared" si="111"/>
        <v>15.285829999999999</v>
      </c>
      <c r="W105" s="66">
        <f ca="1" t="shared" si="135"/>
        <v>10.158</v>
      </c>
      <c r="X105" s="66">
        <f ca="1" t="shared" si="136"/>
        <v>5.127829999999999</v>
      </c>
      <c r="Y105" s="63">
        <f ca="1" t="shared" si="137"/>
        <v>0</v>
      </c>
      <c r="Z105" s="67">
        <f ca="1" t="shared" si="90"/>
        <v>44.37275664636484</v>
      </c>
      <c r="AA105" s="68">
        <f ca="1" t="shared" si="112"/>
        <v>0.22662681780529814</v>
      </c>
      <c r="AB105" s="169">
        <f t="shared" si="138"/>
        <v>10.158</v>
      </c>
      <c r="AC105" s="169">
        <f t="shared" si="139"/>
        <v>10.158</v>
      </c>
      <c r="AD105" s="169">
        <v>0</v>
      </c>
      <c r="AE105" s="171">
        <f t="shared" si="140"/>
        <v>0</v>
      </c>
      <c r="AF105" s="182">
        <v>0</v>
      </c>
      <c r="AG105" s="182">
        <f t="shared" si="141"/>
        <v>0</v>
      </c>
      <c r="AH105" s="182">
        <f t="shared" si="142"/>
        <v>0</v>
      </c>
      <c r="AI105" s="182">
        <v>0</v>
      </c>
      <c r="AJ105" s="171">
        <f t="shared" si="143"/>
        <v>0.4195000000000002</v>
      </c>
      <c r="AK105" s="171">
        <f t="shared" si="144"/>
        <v>10.5775</v>
      </c>
      <c r="AL105" s="171">
        <f t="shared" si="145"/>
        <v>0.6750350783353057</v>
      </c>
      <c r="AM105" s="171">
        <f t="shared" si="146"/>
        <v>11.252535078335306</v>
      </c>
      <c r="AN105" s="81">
        <f t="shared" si="147"/>
        <v>11.252535078335306</v>
      </c>
      <c r="AO105" s="63">
        <f t="shared" si="148"/>
        <v>10.997</v>
      </c>
      <c r="AP105" s="63">
        <f t="shared" si="149"/>
        <v>10.997</v>
      </c>
      <c r="AQ105" s="63">
        <f t="shared" si="150"/>
        <v>0</v>
      </c>
      <c r="AR105" s="63">
        <f t="shared" si="151"/>
        <v>0.2555350783353063</v>
      </c>
      <c r="AS105" s="67">
        <f t="shared" si="113"/>
        <v>35.5763854636149</v>
      </c>
      <c r="AT105" s="65">
        <f ca="1" t="shared" si="114"/>
        <v>1.39</v>
      </c>
      <c r="AU105" s="66">
        <f ca="1" t="shared" si="152"/>
        <v>15.285829999999999</v>
      </c>
      <c r="AV105" s="66">
        <f ca="1" t="shared" si="153"/>
        <v>11.252535078335306</v>
      </c>
      <c r="AW105" s="66">
        <f ca="1" t="shared" si="154"/>
        <v>4.033294921664693</v>
      </c>
      <c r="AX105" s="63">
        <f ca="1" t="shared" si="155"/>
        <v>0</v>
      </c>
      <c r="AY105" s="67">
        <f ca="1" t="shared" si="115"/>
        <v>43.43580458526855</v>
      </c>
      <c r="AZ105" s="65">
        <f ca="1" t="shared" si="156"/>
        <v>0.2209167406759669</v>
      </c>
      <c r="BA105" s="68">
        <f ca="1" t="shared" si="116"/>
        <v>-0.021115480125867947</v>
      </c>
      <c r="BB105" s="169">
        <f t="shared" si="157"/>
        <v>10.158</v>
      </c>
      <c r="BC105" s="169">
        <f t="shared" si="158"/>
        <v>10.158</v>
      </c>
      <c r="BD105" s="169">
        <v>0</v>
      </c>
      <c r="BE105" s="171">
        <f t="shared" si="159"/>
        <v>0</v>
      </c>
      <c r="BF105" s="182">
        <v>0</v>
      </c>
      <c r="BG105" s="182">
        <f t="shared" si="160"/>
        <v>0</v>
      </c>
      <c r="BH105" s="182">
        <f t="shared" si="161"/>
        <v>0</v>
      </c>
      <c r="BI105" s="169">
        <f t="shared" si="162"/>
        <v>0.2097500000000001</v>
      </c>
      <c r="BJ105" s="171">
        <f t="shared" si="163"/>
        <v>10.36775</v>
      </c>
      <c r="BK105" s="171">
        <f t="shared" si="164"/>
        <v>0.19891959905007184</v>
      </c>
      <c r="BL105" s="171">
        <f t="shared" si="165"/>
        <v>10.566669599050071</v>
      </c>
      <c r="BM105" s="81">
        <f t="shared" si="166"/>
        <v>10.566669599050071</v>
      </c>
      <c r="BN105" s="63">
        <f t="shared" si="117"/>
        <v>10.997</v>
      </c>
      <c r="BO105" s="63">
        <f t="shared" si="167"/>
        <v>10.566669599050071</v>
      </c>
      <c r="BP105" s="63">
        <f t="shared" si="168"/>
        <v>0.4303304009499289</v>
      </c>
      <c r="BQ105" s="63">
        <f t="shared" si="169"/>
        <v>0</v>
      </c>
      <c r="BR105" s="67">
        <f t="shared" si="170"/>
        <v>35.899524179796124</v>
      </c>
      <c r="BS105" s="69">
        <f ca="1" t="shared" si="118"/>
        <v>1.39</v>
      </c>
      <c r="BT105" s="66">
        <f ca="1" t="shared" si="171"/>
        <v>15.285829999999999</v>
      </c>
      <c r="BU105" s="66">
        <f ca="1" t="shared" si="172"/>
        <v>10.566669599050071</v>
      </c>
      <c r="BV105" s="66">
        <f ca="1" t="shared" si="173"/>
        <v>4.719160400949928</v>
      </c>
      <c r="BW105" s="63">
        <f ca="1" t="shared" si="174"/>
        <v>0</v>
      </c>
      <c r="BX105" s="67">
        <f ca="1" t="shared" si="119"/>
        <v>43.72152297961574</v>
      </c>
      <c r="BY105" s="65">
        <f ca="1" t="shared" si="175"/>
        <v>0.21788586279429722</v>
      </c>
      <c r="BZ105" s="68">
        <f ca="1" t="shared" si="120"/>
        <v>-0.014676430223598769</v>
      </c>
      <c r="CA105" s="81">
        <f t="shared" si="176"/>
        <v>10.997</v>
      </c>
      <c r="CB105" s="63">
        <f t="shared" si="177"/>
        <v>10.997</v>
      </c>
      <c r="CC105" s="67">
        <f t="shared" si="178"/>
        <v>35.90132553133049</v>
      </c>
      <c r="CD105" s="69">
        <f ca="1" t="shared" si="121"/>
        <v>1.39</v>
      </c>
      <c r="CE105" s="190">
        <f ca="1" t="shared" si="179"/>
        <v>15.285829999999999</v>
      </c>
      <c r="CF105" s="70">
        <f ca="1" t="shared" si="180"/>
        <v>15.285829999999999</v>
      </c>
      <c r="CG105" s="67">
        <f ca="1" t="shared" si="181"/>
        <v>39.30481757441425</v>
      </c>
      <c r="CH105" s="65">
        <f ca="1" t="shared" si="182"/>
        <v>0.09480129194989151</v>
      </c>
      <c r="CI105" s="65">
        <f ca="1" t="shared" si="122"/>
        <v>-0.11421285164544248</v>
      </c>
      <c r="CJ105" s="68">
        <f ca="1" t="shared" si="183"/>
        <v>-0.10101902002042995</v>
      </c>
      <c r="CL105" s="97">
        <f ca="1" t="shared" si="123"/>
        <v>5941683.873014678</v>
      </c>
      <c r="CM105" s="97">
        <f ca="1" t="shared" si="124"/>
        <v>5816222.365279846</v>
      </c>
      <c r="CN105" s="97">
        <f ca="1" t="shared" si="125"/>
        <v>5854481.164241698</v>
      </c>
      <c r="CO105" s="97">
        <f ca="1" t="shared" si="184"/>
        <v>5263067.214301935</v>
      </c>
      <c r="CQ105" s="97">
        <f t="shared" si="126"/>
        <v>3484835.5280925822</v>
      </c>
      <c r="CR105" s="97">
        <f t="shared" si="127"/>
        <v>3427205.5558639476</v>
      </c>
      <c r="CS105" s="97">
        <f t="shared" si="128"/>
        <v>3458334.7104697097</v>
      </c>
      <c r="CT105" s="97">
        <f t="shared" si="185"/>
        <v>3458508.2413640427</v>
      </c>
      <c r="CV105" s="97">
        <f ca="1" t="shared" si="129"/>
        <v>5941683.873014678</v>
      </c>
      <c r="CW105" s="97">
        <f ca="1" t="shared" si="186"/>
        <v>5816222.365279847</v>
      </c>
      <c r="CX105" s="97">
        <f ca="1" t="shared" si="187"/>
        <v>5816222.365279847</v>
      </c>
      <c r="CY105" s="97">
        <f ca="1" t="shared" si="188"/>
        <v>5263067.2143019345</v>
      </c>
    </row>
    <row r="106" spans="2:103" ht="12.75">
      <c r="B106" s="14">
        <v>10285</v>
      </c>
      <c r="C106" s="15" t="s">
        <v>105</v>
      </c>
      <c r="D106" s="16">
        <f>RHWM!D93</f>
        <v>0</v>
      </c>
      <c r="E106" s="16">
        <f>RHWM!E93</f>
        <v>1</v>
      </c>
      <c r="F106" s="18">
        <f>RHWM!M93</f>
        <v>7.783</v>
      </c>
      <c r="G106" s="18">
        <f>RHWM!N93</f>
        <v>7.82</v>
      </c>
      <c r="H106" s="18">
        <f>RHWM!O93</f>
        <v>6.529</v>
      </c>
      <c r="I106" s="18">
        <f>MAX(F106-$H106,0)</f>
        <v>1.2540000000000004</v>
      </c>
      <c r="J106" s="18">
        <f>MAX(G106-$H106,0)</f>
        <v>1.2910000000000004</v>
      </c>
      <c r="K106" s="18">
        <v>0</v>
      </c>
      <c r="L106" s="18">
        <v>0</v>
      </c>
      <c r="M106" s="18">
        <f>I106</f>
        <v>1.2540000000000004</v>
      </c>
      <c r="N106" s="18">
        <f>J106</f>
        <v>1.2910000000000004</v>
      </c>
      <c r="O106" s="81">
        <f t="shared" si="130"/>
        <v>6.529</v>
      </c>
      <c r="P106" s="63">
        <f t="shared" si="131"/>
        <v>7.82</v>
      </c>
      <c r="Q106" s="63">
        <f t="shared" si="132"/>
        <v>6.529</v>
      </c>
      <c r="R106" s="63">
        <f t="shared" si="133"/>
        <v>1.2910000000000004</v>
      </c>
      <c r="S106" s="63">
        <f t="shared" si="134"/>
        <v>0</v>
      </c>
      <c r="T106" s="67">
        <f t="shared" si="109"/>
        <v>38.764879877962514</v>
      </c>
      <c r="U106" s="138">
        <f ca="1" t="shared" si="110"/>
        <v>1.04</v>
      </c>
      <c r="V106" s="66">
        <f ca="1" t="shared" si="111"/>
        <v>8.132800000000001</v>
      </c>
      <c r="W106" s="66">
        <f ca="1" t="shared" si="135"/>
        <v>6.529</v>
      </c>
      <c r="X106" s="66">
        <f ca="1" t="shared" si="136"/>
        <v>1.6038000000000014</v>
      </c>
      <c r="Y106" s="63">
        <f ca="1" t="shared" si="137"/>
        <v>0</v>
      </c>
      <c r="Z106" s="67">
        <f ca="1" t="shared" si="90"/>
        <v>40.472263162681486</v>
      </c>
      <c r="AA106" s="68">
        <f ca="1" t="shared" si="112"/>
        <v>0.04404459113749515</v>
      </c>
      <c r="AB106" s="169">
        <f t="shared" si="138"/>
        <v>6.529</v>
      </c>
      <c r="AC106" s="169">
        <f t="shared" si="139"/>
        <v>6.529</v>
      </c>
      <c r="AD106" s="169">
        <v>0</v>
      </c>
      <c r="AE106" s="171">
        <f t="shared" si="140"/>
        <v>0</v>
      </c>
      <c r="AF106" s="182">
        <v>0</v>
      </c>
      <c r="AG106" s="182">
        <f t="shared" si="141"/>
        <v>0</v>
      </c>
      <c r="AH106" s="182">
        <f t="shared" si="142"/>
        <v>0</v>
      </c>
      <c r="AI106" s="182">
        <v>0</v>
      </c>
      <c r="AJ106" s="171">
        <f t="shared" si="143"/>
        <v>0.6455000000000002</v>
      </c>
      <c r="AK106" s="171">
        <f t="shared" si="144"/>
        <v>7.1745</v>
      </c>
      <c r="AL106" s="171">
        <f t="shared" si="145"/>
        <v>0.45786236535255503</v>
      </c>
      <c r="AM106" s="171">
        <f t="shared" si="146"/>
        <v>7.632362365352555</v>
      </c>
      <c r="AN106" s="81">
        <f t="shared" si="147"/>
        <v>7.632362365352555</v>
      </c>
      <c r="AO106" s="63">
        <f t="shared" si="148"/>
        <v>7.82</v>
      </c>
      <c r="AP106" s="63">
        <f t="shared" si="149"/>
        <v>7.632362365352555</v>
      </c>
      <c r="AQ106" s="63">
        <f t="shared" si="150"/>
        <v>0.18763763464744532</v>
      </c>
      <c r="AR106" s="63">
        <f t="shared" si="151"/>
        <v>0</v>
      </c>
      <c r="AS106" s="67">
        <f t="shared" si="113"/>
        <v>36.23728299318629</v>
      </c>
      <c r="AT106" s="65">
        <f ca="1" t="shared" si="114"/>
        <v>1.04</v>
      </c>
      <c r="AU106" s="66">
        <f ca="1" t="shared" si="152"/>
        <v>8.132800000000001</v>
      </c>
      <c r="AV106" s="66">
        <f ca="1" t="shared" si="153"/>
        <v>7.632362365352555</v>
      </c>
      <c r="AW106" s="66">
        <f ca="1" t="shared" si="154"/>
        <v>0.5004376346474464</v>
      </c>
      <c r="AX106" s="63">
        <f ca="1" t="shared" si="155"/>
        <v>0</v>
      </c>
      <c r="AY106" s="67">
        <f ca="1" t="shared" si="115"/>
        <v>38.02569300403288</v>
      </c>
      <c r="AZ106" s="65">
        <f ca="1" t="shared" si="156"/>
        <v>0.04935276221406726</v>
      </c>
      <c r="BA106" s="68">
        <f ca="1" t="shared" si="116"/>
        <v>-0.060450539887389576</v>
      </c>
      <c r="BB106" s="169">
        <f t="shared" si="157"/>
        <v>6.529</v>
      </c>
      <c r="BC106" s="169">
        <f t="shared" si="158"/>
        <v>6.529</v>
      </c>
      <c r="BD106" s="169">
        <v>0</v>
      </c>
      <c r="BE106" s="171">
        <f t="shared" si="159"/>
        <v>0</v>
      </c>
      <c r="BF106" s="182">
        <v>0</v>
      </c>
      <c r="BG106" s="182">
        <f t="shared" si="160"/>
        <v>0</v>
      </c>
      <c r="BH106" s="182">
        <f t="shared" si="161"/>
        <v>0</v>
      </c>
      <c r="BI106" s="169">
        <f t="shared" si="162"/>
        <v>0.3227500000000001</v>
      </c>
      <c r="BJ106" s="171">
        <f t="shared" si="163"/>
        <v>6.85175</v>
      </c>
      <c r="BK106" s="171">
        <f t="shared" si="164"/>
        <v>0.13146028432314916</v>
      </c>
      <c r="BL106" s="171">
        <f t="shared" si="165"/>
        <v>6.98321028432315</v>
      </c>
      <c r="BM106" s="81">
        <f t="shared" si="166"/>
        <v>6.98321028432315</v>
      </c>
      <c r="BN106" s="63">
        <f t="shared" si="117"/>
        <v>7.82</v>
      </c>
      <c r="BO106" s="63">
        <f t="shared" si="167"/>
        <v>6.98321028432315</v>
      </c>
      <c r="BP106" s="63">
        <f t="shared" si="168"/>
        <v>0.8367897156768507</v>
      </c>
      <c r="BQ106" s="63">
        <f t="shared" si="169"/>
        <v>0</v>
      </c>
      <c r="BR106" s="67">
        <f t="shared" si="170"/>
        <v>37.82235018293932</v>
      </c>
      <c r="BS106" s="69">
        <f ca="1" t="shared" si="118"/>
        <v>1.04</v>
      </c>
      <c r="BT106" s="66">
        <f ca="1" t="shared" si="171"/>
        <v>8.132800000000001</v>
      </c>
      <c r="BU106" s="66">
        <f ca="1" t="shared" si="172"/>
        <v>6.98321028432315</v>
      </c>
      <c r="BV106" s="66">
        <f ca="1" t="shared" si="173"/>
        <v>1.1495897156768518</v>
      </c>
      <c r="BW106" s="63">
        <f ca="1" t="shared" si="174"/>
        <v>0</v>
      </c>
      <c r="BX106" s="67">
        <f ca="1" t="shared" si="119"/>
        <v>39.02463221144713</v>
      </c>
      <c r="BY106" s="65">
        <f ca="1" t="shared" si="175"/>
        <v>0.031787607662998374</v>
      </c>
      <c r="BZ106" s="68">
        <f ca="1" t="shared" si="120"/>
        <v>-0.03576847050572618</v>
      </c>
      <c r="CA106" s="81">
        <f t="shared" si="176"/>
        <v>7.82</v>
      </c>
      <c r="CB106" s="63">
        <f t="shared" si="177"/>
        <v>7.82</v>
      </c>
      <c r="CC106" s="67">
        <f t="shared" si="178"/>
        <v>35.90132553133049</v>
      </c>
      <c r="CD106" s="69">
        <f ca="1" t="shared" si="121"/>
        <v>1.04</v>
      </c>
      <c r="CE106" s="190">
        <f ca="1" t="shared" si="179"/>
        <v>8.132800000000001</v>
      </c>
      <c r="CF106" s="70">
        <f ca="1" t="shared" si="180"/>
        <v>8.132800000000001</v>
      </c>
      <c r="CG106" s="67">
        <f ca="1" t="shared" si="181"/>
        <v>39.30481757441425</v>
      </c>
      <c r="CH106" s="65">
        <f ca="1" t="shared" si="182"/>
        <v>0.09480129194989151</v>
      </c>
      <c r="CI106" s="65">
        <f ca="1" t="shared" si="122"/>
        <v>-0.02884557217802708</v>
      </c>
      <c r="CJ106" s="68">
        <f ca="1" t="shared" si="183"/>
        <v>0.007179705408855597</v>
      </c>
      <c r="CL106" s="97">
        <f ca="1" t="shared" si="123"/>
        <v>2883378.7194012348</v>
      </c>
      <c r="CM106" s="97">
        <f ca="1" t="shared" si="124"/>
        <v>2709076.9191136207</v>
      </c>
      <c r="CN106" s="97">
        <f ca="1" t="shared" si="125"/>
        <v>2780244.6727194935</v>
      </c>
      <c r="CO106" s="97">
        <f ca="1" t="shared" si="184"/>
        <v>2800206.0104341595</v>
      </c>
      <c r="CQ106" s="97">
        <f t="shared" si="126"/>
        <v>2655518.3192560417</v>
      </c>
      <c r="CR106" s="97">
        <f t="shared" si="127"/>
        <v>2482369.844338839</v>
      </c>
      <c r="CS106" s="97">
        <f t="shared" si="128"/>
        <v>2590952.019051929</v>
      </c>
      <c r="CT106" s="97">
        <f t="shared" si="185"/>
        <v>2459355.6831378387</v>
      </c>
      <c r="CV106" s="97">
        <f ca="1" t="shared" si="129"/>
        <v>2883378.719401235</v>
      </c>
      <c r="CW106" s="97">
        <f ca="1" t="shared" si="186"/>
        <v>2709076.91911362</v>
      </c>
      <c r="CX106" s="97">
        <f ca="1" t="shared" si="187"/>
        <v>2709076.91911362</v>
      </c>
      <c r="CY106" s="97">
        <f ca="1" t="shared" si="188"/>
        <v>2800206.010434159</v>
      </c>
    </row>
    <row r="107" spans="2:103" ht="12.75">
      <c r="B107" s="14">
        <v>10286</v>
      </c>
      <c r="C107" s="15" t="s">
        <v>106</v>
      </c>
      <c r="D107" s="16">
        <f>RHWM!D94</f>
        <v>1</v>
      </c>
      <c r="E107" s="16">
        <f>RHWM!E94</f>
        <v>0</v>
      </c>
      <c r="F107" s="18">
        <f>RHWM!M94</f>
        <v>50.129</v>
      </c>
      <c r="G107" s="18">
        <f>RHWM!N94</f>
        <v>49.893</v>
      </c>
      <c r="H107" s="18">
        <f>RHWM!O94</f>
        <v>45.911</v>
      </c>
      <c r="I107" s="18">
        <v>4.218</v>
      </c>
      <c r="J107" s="18">
        <v>3.982</v>
      </c>
      <c r="K107" s="18">
        <v>0</v>
      </c>
      <c r="L107" s="18">
        <v>0</v>
      </c>
      <c r="M107" s="18">
        <v>4.218</v>
      </c>
      <c r="N107" s="18">
        <v>3.982</v>
      </c>
      <c r="O107" s="81">
        <f t="shared" si="130"/>
        <v>45.911</v>
      </c>
      <c r="P107" s="63">
        <f t="shared" si="131"/>
        <v>49.893</v>
      </c>
      <c r="Q107" s="63">
        <f t="shared" si="132"/>
        <v>45.911</v>
      </c>
      <c r="R107" s="63">
        <f t="shared" si="133"/>
        <v>3.9819999999999993</v>
      </c>
      <c r="S107" s="63">
        <f t="shared" si="134"/>
        <v>0</v>
      </c>
      <c r="T107" s="67">
        <f t="shared" si="109"/>
        <v>36.27721984824891</v>
      </c>
      <c r="U107" s="138">
        <f ca="1" t="shared" si="110"/>
        <v>1.13</v>
      </c>
      <c r="V107" s="66">
        <f ca="1" t="shared" si="111"/>
        <v>56.37909</v>
      </c>
      <c r="W107" s="66">
        <f ca="1" t="shared" si="135"/>
        <v>45.911</v>
      </c>
      <c r="X107" s="66">
        <f ca="1" t="shared" si="136"/>
        <v>10.468089999999997</v>
      </c>
      <c r="Y107" s="63">
        <f ca="1" t="shared" si="137"/>
        <v>0</v>
      </c>
      <c r="Z107" s="67">
        <f ca="1" t="shared" si="90"/>
        <v>40.14704169731138</v>
      </c>
      <c r="AA107" s="68">
        <f ca="1" t="shared" si="112"/>
        <v>0.10667360578485074</v>
      </c>
      <c r="AB107" s="169">
        <f t="shared" si="138"/>
        <v>45.911</v>
      </c>
      <c r="AC107" s="169">
        <f t="shared" si="139"/>
        <v>45.911</v>
      </c>
      <c r="AD107" s="169">
        <v>0.483</v>
      </c>
      <c r="AE107" s="171">
        <f t="shared" si="140"/>
        <v>0.2415</v>
      </c>
      <c r="AF107" s="182">
        <v>0</v>
      </c>
      <c r="AG107" s="182">
        <f t="shared" si="141"/>
        <v>0</v>
      </c>
      <c r="AH107" s="182">
        <f t="shared" si="142"/>
        <v>0</v>
      </c>
      <c r="AI107" s="182">
        <v>0</v>
      </c>
      <c r="AJ107" s="171">
        <f t="shared" si="143"/>
        <v>1.9909999999999997</v>
      </c>
      <c r="AK107" s="171">
        <f t="shared" si="144"/>
        <v>48.1435</v>
      </c>
      <c r="AL107" s="171">
        <f t="shared" si="145"/>
        <v>3.072422717450796</v>
      </c>
      <c r="AM107" s="171">
        <f t="shared" si="146"/>
        <v>51.2159227174508</v>
      </c>
      <c r="AN107" s="81">
        <f t="shared" si="147"/>
        <v>51.2159227174508</v>
      </c>
      <c r="AO107" s="63">
        <f t="shared" si="148"/>
        <v>49.893</v>
      </c>
      <c r="AP107" s="63">
        <f t="shared" si="149"/>
        <v>49.893</v>
      </c>
      <c r="AQ107" s="63">
        <f t="shared" si="150"/>
        <v>0</v>
      </c>
      <c r="AR107" s="63">
        <f t="shared" si="151"/>
        <v>1.3229227174508011</v>
      </c>
      <c r="AS107" s="67">
        <f t="shared" si="113"/>
        <v>35.5763854636149</v>
      </c>
      <c r="AT107" s="65">
        <f ca="1" t="shared" si="114"/>
        <v>1.13</v>
      </c>
      <c r="AU107" s="66">
        <f ca="1" t="shared" si="152"/>
        <v>56.37909</v>
      </c>
      <c r="AV107" s="66">
        <f ca="1" t="shared" si="153"/>
        <v>51.2159227174508</v>
      </c>
      <c r="AW107" s="66">
        <f ca="1" t="shared" si="154"/>
        <v>5.163167282549196</v>
      </c>
      <c r="AX107" s="63">
        <f ca="1" t="shared" si="155"/>
        <v>0</v>
      </c>
      <c r="AY107" s="67">
        <f ca="1" t="shared" si="115"/>
        <v>38.82911950468589</v>
      </c>
      <c r="AZ107" s="65">
        <f ca="1" t="shared" si="156"/>
        <v>0.09142958169254345</v>
      </c>
      <c r="BA107" s="68">
        <f ca="1" t="shared" si="116"/>
        <v>-0.032827379973896065</v>
      </c>
      <c r="BB107" s="169">
        <f t="shared" si="157"/>
        <v>45.911</v>
      </c>
      <c r="BC107" s="169">
        <f t="shared" si="158"/>
        <v>45.911</v>
      </c>
      <c r="BD107" s="169">
        <v>0.483</v>
      </c>
      <c r="BE107" s="171">
        <f t="shared" si="159"/>
        <v>0.2415</v>
      </c>
      <c r="BF107" s="182">
        <v>0</v>
      </c>
      <c r="BG107" s="182">
        <f t="shared" si="160"/>
        <v>0</v>
      </c>
      <c r="BH107" s="182">
        <f t="shared" si="161"/>
        <v>0</v>
      </c>
      <c r="BI107" s="169">
        <f t="shared" si="162"/>
        <v>0.9954999999999998</v>
      </c>
      <c r="BJ107" s="171">
        <f t="shared" si="163"/>
        <v>47.148</v>
      </c>
      <c r="BK107" s="171">
        <f t="shared" si="164"/>
        <v>0.9045994797340587</v>
      </c>
      <c r="BL107" s="171">
        <f t="shared" si="165"/>
        <v>48.05259947973406</v>
      </c>
      <c r="BM107" s="81">
        <f t="shared" si="166"/>
        <v>48.05259947973406</v>
      </c>
      <c r="BN107" s="63">
        <f t="shared" si="117"/>
        <v>49.893</v>
      </c>
      <c r="BO107" s="63">
        <f t="shared" si="167"/>
        <v>48.05259947973406</v>
      </c>
      <c r="BP107" s="63">
        <f t="shared" si="168"/>
        <v>1.8404005202659377</v>
      </c>
      <c r="BQ107" s="63">
        <f t="shared" si="169"/>
        <v>0</v>
      </c>
      <c r="BR107" s="67">
        <f t="shared" si="170"/>
        <v>35.83593485973507</v>
      </c>
      <c r="BS107" s="69">
        <f ca="1" t="shared" si="118"/>
        <v>1.13</v>
      </c>
      <c r="BT107" s="66">
        <f ca="1" t="shared" si="171"/>
        <v>56.37909</v>
      </c>
      <c r="BU107" s="66">
        <f ca="1" t="shared" si="172"/>
        <v>48.05259947973406</v>
      </c>
      <c r="BV107" s="66">
        <f ca="1" t="shared" si="173"/>
        <v>8.326490520265935</v>
      </c>
      <c r="BW107" s="63">
        <f ca="1" t="shared" si="174"/>
        <v>0</v>
      </c>
      <c r="BX107" s="67">
        <f ca="1" t="shared" si="119"/>
        <v>39.20241331315879</v>
      </c>
      <c r="BY107" s="65">
        <f ca="1" t="shared" si="175"/>
        <v>0.09394141569350456</v>
      </c>
      <c r="BZ107" s="68">
        <f ca="1" t="shared" si="120"/>
        <v>-0.0235292152102915</v>
      </c>
      <c r="CA107" s="81">
        <f t="shared" si="176"/>
        <v>49.893</v>
      </c>
      <c r="CB107" s="63">
        <f t="shared" si="177"/>
        <v>49.893</v>
      </c>
      <c r="CC107" s="67">
        <f t="shared" si="178"/>
        <v>35.90132553133049</v>
      </c>
      <c r="CD107" s="69">
        <f ca="1" t="shared" si="121"/>
        <v>1.13</v>
      </c>
      <c r="CE107" s="190">
        <f ca="1" t="shared" si="179"/>
        <v>56.37909</v>
      </c>
      <c r="CF107" s="70">
        <f ca="1" t="shared" si="180"/>
        <v>56.37909</v>
      </c>
      <c r="CG107" s="67">
        <f ca="1" t="shared" si="181"/>
        <v>39.30481757441425</v>
      </c>
      <c r="CH107" s="65">
        <f ca="1" t="shared" si="182"/>
        <v>0.09480129194989151</v>
      </c>
      <c r="CI107" s="65">
        <f ca="1" t="shared" si="122"/>
        <v>-0.020978485270398695</v>
      </c>
      <c r="CJ107" s="68">
        <f ca="1" t="shared" si="183"/>
        <v>0.0026121927861284533</v>
      </c>
      <c r="CL107" s="97">
        <f ca="1" t="shared" si="123"/>
        <v>19827854.211277485</v>
      </c>
      <c r="CM107" s="97">
        <f ca="1" t="shared" si="124"/>
        <v>19176957.707016863</v>
      </c>
      <c r="CN107" s="97">
        <f ca="1" t="shared" si="125"/>
        <v>19361320.36238205</v>
      </c>
      <c r="CO107" s="97">
        <f ca="1" t="shared" si="184"/>
        <v>19411895.863762587</v>
      </c>
      <c r="CQ107" s="97">
        <f t="shared" si="126"/>
        <v>15855418.92982486</v>
      </c>
      <c r="CR107" s="97">
        <f t="shared" si="127"/>
        <v>15549110.37544057</v>
      </c>
      <c r="CS107" s="97">
        <f t="shared" si="128"/>
        <v>15662549.730101233</v>
      </c>
      <c r="CT107" s="97">
        <f t="shared" si="185"/>
        <v>15691129.552275728</v>
      </c>
      <c r="CV107" s="97">
        <f ca="1" t="shared" si="129"/>
        <v>19827854.211277485</v>
      </c>
      <c r="CW107" s="97">
        <f ca="1" t="shared" si="186"/>
        <v>19176957.707016867</v>
      </c>
      <c r="CX107" s="97">
        <f ca="1" t="shared" si="187"/>
        <v>19176957.707016867</v>
      </c>
      <c r="CY107" s="97">
        <f ca="1" t="shared" si="188"/>
        <v>19411895.863762587</v>
      </c>
    </row>
    <row r="108" spans="2:103" ht="12.75">
      <c r="B108" s="14">
        <v>10288</v>
      </c>
      <c r="C108" s="15" t="s">
        <v>107</v>
      </c>
      <c r="D108" s="16">
        <f>RHWM!D95</f>
        <v>0</v>
      </c>
      <c r="E108" s="16">
        <f>RHWM!E95</f>
        <v>1</v>
      </c>
      <c r="F108" s="18">
        <f>RHWM!M95</f>
        <v>24.612</v>
      </c>
      <c r="G108" s="18">
        <f>RHWM!N95</f>
        <v>24.655</v>
      </c>
      <c r="H108" s="18">
        <f>RHWM!O95</f>
        <v>24.734</v>
      </c>
      <c r="I108" s="18">
        <v>0</v>
      </c>
      <c r="J108" s="18">
        <v>0</v>
      </c>
      <c r="K108" s="18">
        <v>0</v>
      </c>
      <c r="L108" s="18">
        <v>0</v>
      </c>
      <c r="M108" s="18">
        <v>0</v>
      </c>
      <c r="N108" s="18">
        <v>0</v>
      </c>
      <c r="O108" s="81">
        <f t="shared" si="130"/>
        <v>24.734</v>
      </c>
      <c r="P108" s="63">
        <f t="shared" si="131"/>
        <v>24.655</v>
      </c>
      <c r="Q108" s="63">
        <f t="shared" si="132"/>
        <v>24.655</v>
      </c>
      <c r="R108" s="63">
        <f t="shared" si="133"/>
        <v>0</v>
      </c>
      <c r="S108" s="63">
        <f t="shared" si="134"/>
        <v>0.07900000000000063</v>
      </c>
      <c r="T108" s="67">
        <f t="shared" si="109"/>
        <v>33.949064274110405</v>
      </c>
      <c r="U108" s="138">
        <f ca="1" t="shared" si="110"/>
        <v>1.23</v>
      </c>
      <c r="V108" s="66">
        <f ca="1" t="shared" si="111"/>
        <v>30.32565</v>
      </c>
      <c r="W108" s="66">
        <f ca="1" t="shared" si="135"/>
        <v>24.734</v>
      </c>
      <c r="X108" s="66">
        <f ca="1" t="shared" si="136"/>
        <v>5.591649999999998</v>
      </c>
      <c r="Y108" s="63">
        <f ca="1" t="shared" si="137"/>
        <v>0</v>
      </c>
      <c r="Z108" s="67">
        <f ca="1" t="shared" si="90"/>
        <v>40.110749520759946</v>
      </c>
      <c r="AA108" s="68">
        <f ca="1" t="shared" si="112"/>
        <v>0.18149794047043732</v>
      </c>
      <c r="AB108" s="169">
        <f t="shared" si="138"/>
        <v>24.655</v>
      </c>
      <c r="AC108" s="169">
        <f t="shared" si="139"/>
        <v>24.655</v>
      </c>
      <c r="AD108" s="169">
        <v>0.066</v>
      </c>
      <c r="AE108" s="171">
        <f t="shared" si="140"/>
        <v>0.033</v>
      </c>
      <c r="AF108" s="182">
        <v>0</v>
      </c>
      <c r="AG108" s="182">
        <f t="shared" si="141"/>
        <v>0</v>
      </c>
      <c r="AH108" s="182">
        <f t="shared" si="142"/>
        <v>0</v>
      </c>
      <c r="AI108" s="182">
        <v>0</v>
      </c>
      <c r="AJ108" s="171">
        <f t="shared" si="143"/>
        <v>0</v>
      </c>
      <c r="AK108" s="171">
        <f t="shared" si="144"/>
        <v>24.688000000000002</v>
      </c>
      <c r="AL108" s="171">
        <f t="shared" si="145"/>
        <v>1.575539211906597</v>
      </c>
      <c r="AM108" s="171">
        <f t="shared" si="146"/>
        <v>26.2635392119066</v>
      </c>
      <c r="AN108" s="81">
        <f t="shared" si="147"/>
        <v>26.2635392119066</v>
      </c>
      <c r="AO108" s="63">
        <f t="shared" si="148"/>
        <v>24.655</v>
      </c>
      <c r="AP108" s="63">
        <f t="shared" si="149"/>
        <v>24.655</v>
      </c>
      <c r="AQ108" s="63">
        <f t="shared" si="150"/>
        <v>0</v>
      </c>
      <c r="AR108" s="63">
        <f t="shared" si="151"/>
        <v>1.6085392119065993</v>
      </c>
      <c r="AS108" s="67">
        <f t="shared" si="113"/>
        <v>35.5763854636149</v>
      </c>
      <c r="AT108" s="65">
        <f ca="1" t="shared" si="114"/>
        <v>1.23</v>
      </c>
      <c r="AU108" s="66">
        <f ca="1" t="shared" si="152"/>
        <v>30.32565</v>
      </c>
      <c r="AV108" s="66">
        <f ca="1" t="shared" si="153"/>
        <v>26.2635392119066</v>
      </c>
      <c r="AW108" s="66">
        <f ca="1" t="shared" si="154"/>
        <v>4.062110788093399</v>
      </c>
      <c r="AX108" s="63">
        <f ca="1" t="shared" si="155"/>
        <v>0</v>
      </c>
      <c r="AY108" s="67">
        <f ca="1" t="shared" si="115"/>
        <v>39.96208531908813</v>
      </c>
      <c r="AZ108" s="65">
        <f ca="1" t="shared" si="156"/>
        <v>0.12327558852089204</v>
      </c>
      <c r="BA108" s="68">
        <f ca="1" t="shared" si="116"/>
        <v>-0.003706343148608293</v>
      </c>
      <c r="BB108" s="169">
        <f t="shared" si="157"/>
        <v>24.655</v>
      </c>
      <c r="BC108" s="169">
        <f t="shared" si="158"/>
        <v>24.655</v>
      </c>
      <c r="BD108" s="169">
        <v>0.066</v>
      </c>
      <c r="BE108" s="171">
        <f t="shared" si="159"/>
        <v>0.033</v>
      </c>
      <c r="BF108" s="182">
        <v>0</v>
      </c>
      <c r="BG108" s="182">
        <f t="shared" si="160"/>
        <v>0</v>
      </c>
      <c r="BH108" s="182">
        <f t="shared" si="161"/>
        <v>0</v>
      </c>
      <c r="BI108" s="169">
        <f t="shared" si="162"/>
        <v>0</v>
      </c>
      <c r="BJ108" s="171">
        <f t="shared" si="163"/>
        <v>24.688000000000002</v>
      </c>
      <c r="BK108" s="171">
        <f t="shared" si="164"/>
        <v>0.4736733680256733</v>
      </c>
      <c r="BL108" s="171">
        <f t="shared" si="165"/>
        <v>25.161673368025674</v>
      </c>
      <c r="BM108" s="81">
        <f t="shared" si="166"/>
        <v>25.161673368025674</v>
      </c>
      <c r="BN108" s="63">
        <f t="shared" si="117"/>
        <v>24.655</v>
      </c>
      <c r="BO108" s="63">
        <f t="shared" si="167"/>
        <v>24.655</v>
      </c>
      <c r="BP108" s="63">
        <f t="shared" si="168"/>
        <v>0</v>
      </c>
      <c r="BQ108" s="63">
        <f t="shared" si="169"/>
        <v>0.5066733680256732</v>
      </c>
      <c r="BR108" s="67">
        <f t="shared" si="170"/>
        <v>34.790963136607154</v>
      </c>
      <c r="BS108" s="69">
        <f ca="1" t="shared" si="118"/>
        <v>1.23</v>
      </c>
      <c r="BT108" s="66">
        <f ca="1" t="shared" si="171"/>
        <v>30.32565</v>
      </c>
      <c r="BU108" s="66">
        <f ca="1" t="shared" si="172"/>
        <v>25.161673368025674</v>
      </c>
      <c r="BV108" s="66">
        <f ca="1" t="shared" si="173"/>
        <v>5.163976631974325</v>
      </c>
      <c r="BW108" s="63">
        <f ca="1" t="shared" si="174"/>
        <v>0</v>
      </c>
      <c r="BX108" s="67">
        <f ca="1" t="shared" si="119"/>
        <v>39.83651771768207</v>
      </c>
      <c r="BY108" s="65">
        <f ca="1" t="shared" si="175"/>
        <v>0.14502486065888665</v>
      </c>
      <c r="BZ108" s="68">
        <f ca="1" t="shared" si="120"/>
        <v>-0.006836865587264596</v>
      </c>
      <c r="CA108" s="81">
        <f t="shared" si="176"/>
        <v>24.655</v>
      </c>
      <c r="CB108" s="63">
        <f t="shared" si="177"/>
        <v>24.655</v>
      </c>
      <c r="CC108" s="67">
        <f t="shared" si="178"/>
        <v>35.90132553133049</v>
      </c>
      <c r="CD108" s="69">
        <f ca="1" t="shared" si="121"/>
        <v>1.23</v>
      </c>
      <c r="CE108" s="190">
        <f ca="1" t="shared" si="179"/>
        <v>30.32565</v>
      </c>
      <c r="CF108" s="70">
        <f ca="1" t="shared" si="180"/>
        <v>30.32565</v>
      </c>
      <c r="CG108" s="67">
        <f ca="1" t="shared" si="181"/>
        <v>39.30481757441425</v>
      </c>
      <c r="CH108" s="65">
        <f ca="1" t="shared" si="182"/>
        <v>0.09480129194989151</v>
      </c>
      <c r="CI108" s="65">
        <f ca="1" t="shared" si="122"/>
        <v>-0.020092667326711777</v>
      </c>
      <c r="CJ108" s="68">
        <f ca="1" t="shared" si="183"/>
        <v>-0.013347053751935123</v>
      </c>
      <c r="CL108" s="97">
        <f ca="1" t="shared" si="123"/>
        <v>10655528.668549087</v>
      </c>
      <c r="CM108" s="97">
        <f ca="1" t="shared" si="124"/>
        <v>10616035.622873612</v>
      </c>
      <c r="CN108" s="97">
        <f ca="1" t="shared" si="125"/>
        <v>10582678.251280973</v>
      </c>
      <c r="CO108" s="97">
        <f ca="1" t="shared" si="184"/>
        <v>10441430.675821692</v>
      </c>
      <c r="CQ108" s="97">
        <f t="shared" si="126"/>
        <v>7332244.2139809625</v>
      </c>
      <c r="CR108" s="97">
        <f t="shared" si="127"/>
        <v>7683709.464383527</v>
      </c>
      <c r="CS108" s="97">
        <f t="shared" si="128"/>
        <v>7514075.678125513</v>
      </c>
      <c r="CT108" s="97">
        <f t="shared" si="185"/>
        <v>7753889.305340592</v>
      </c>
      <c r="CV108" s="97">
        <f ca="1" t="shared" si="129"/>
        <v>10655528.668549089</v>
      </c>
      <c r="CW108" s="97">
        <f ca="1" t="shared" si="186"/>
        <v>10616035.622873612</v>
      </c>
      <c r="CX108" s="97">
        <f ca="1" t="shared" si="187"/>
        <v>10616035.622873612</v>
      </c>
      <c r="CY108" s="97">
        <f ca="1" t="shared" si="188"/>
        <v>10441430.675821692</v>
      </c>
    </row>
    <row r="109" spans="2:103" ht="12.75">
      <c r="B109" s="14">
        <v>10291</v>
      </c>
      <c r="C109" s="15" t="s">
        <v>108</v>
      </c>
      <c r="D109" s="16">
        <f>RHWM!D96</f>
        <v>1</v>
      </c>
      <c r="E109" s="16">
        <f>RHWM!E96</f>
        <v>0</v>
      </c>
      <c r="F109" s="18">
        <f>RHWM!M96</f>
        <v>78.184</v>
      </c>
      <c r="G109" s="18">
        <f>RHWM!N96</f>
        <v>78.386</v>
      </c>
      <c r="H109" s="18">
        <f>RHWM!O96</f>
        <v>79.182</v>
      </c>
      <c r="I109" s="18">
        <v>0</v>
      </c>
      <c r="J109" s="18">
        <v>0</v>
      </c>
      <c r="K109" s="18">
        <v>0</v>
      </c>
      <c r="L109" s="18">
        <v>0</v>
      </c>
      <c r="M109" s="18">
        <v>0</v>
      </c>
      <c r="N109" s="18">
        <v>0</v>
      </c>
      <c r="O109" s="81">
        <f t="shared" si="130"/>
        <v>79.182</v>
      </c>
      <c r="P109" s="63">
        <f t="shared" si="131"/>
        <v>78.386</v>
      </c>
      <c r="Q109" s="63">
        <f t="shared" si="132"/>
        <v>78.386</v>
      </c>
      <c r="R109" s="63">
        <f t="shared" si="133"/>
        <v>0</v>
      </c>
      <c r="S109" s="63">
        <f t="shared" si="134"/>
        <v>0.7960000000000065</v>
      </c>
      <c r="T109" s="67">
        <f t="shared" si="109"/>
        <v>33.949064274110405</v>
      </c>
      <c r="U109" s="138">
        <f ca="1" t="shared" si="110"/>
        <v>1.09</v>
      </c>
      <c r="V109" s="66">
        <f ca="1" t="shared" si="111"/>
        <v>85.44074</v>
      </c>
      <c r="W109" s="66">
        <f ca="1" t="shared" si="135"/>
        <v>79.182</v>
      </c>
      <c r="X109" s="66">
        <f ca="1" t="shared" si="136"/>
        <v>6.258740000000003</v>
      </c>
      <c r="Y109" s="63">
        <f ca="1" t="shared" si="137"/>
        <v>0</v>
      </c>
      <c r="Z109" s="67">
        <f ca="1" t="shared" si="90"/>
        <v>36.97553858249248</v>
      </c>
      <c r="AA109" s="68">
        <f ca="1" t="shared" si="112"/>
        <v>0.08914750297521667</v>
      </c>
      <c r="AB109" s="169">
        <f t="shared" si="138"/>
        <v>78.386</v>
      </c>
      <c r="AC109" s="169">
        <f t="shared" si="139"/>
        <v>78.386</v>
      </c>
      <c r="AD109" s="169">
        <v>0</v>
      </c>
      <c r="AE109" s="171">
        <f t="shared" si="140"/>
        <v>0</v>
      </c>
      <c r="AF109" s="182">
        <v>0</v>
      </c>
      <c r="AG109" s="182">
        <f t="shared" si="141"/>
        <v>0</v>
      </c>
      <c r="AH109" s="182">
        <f t="shared" si="142"/>
        <v>0</v>
      </c>
      <c r="AI109" s="182">
        <v>0</v>
      </c>
      <c r="AJ109" s="171">
        <f t="shared" si="143"/>
        <v>0</v>
      </c>
      <c r="AK109" s="171">
        <f t="shared" si="144"/>
        <v>78.386</v>
      </c>
      <c r="AL109" s="171">
        <f t="shared" si="145"/>
        <v>5.0024391066311775</v>
      </c>
      <c r="AM109" s="171">
        <f t="shared" si="146"/>
        <v>83.38843910663117</v>
      </c>
      <c r="AN109" s="81">
        <f t="shared" si="147"/>
        <v>83.38843910663117</v>
      </c>
      <c r="AO109" s="63">
        <f t="shared" si="148"/>
        <v>78.386</v>
      </c>
      <c r="AP109" s="63">
        <f t="shared" si="149"/>
        <v>78.386</v>
      </c>
      <c r="AQ109" s="63">
        <f t="shared" si="150"/>
        <v>0</v>
      </c>
      <c r="AR109" s="63">
        <f t="shared" si="151"/>
        <v>5.002439106631172</v>
      </c>
      <c r="AS109" s="67">
        <f t="shared" si="113"/>
        <v>35.5763854636149</v>
      </c>
      <c r="AT109" s="65">
        <f ca="1" t="shared" si="114"/>
        <v>1.09</v>
      </c>
      <c r="AU109" s="66">
        <f ca="1" t="shared" si="152"/>
        <v>85.44074</v>
      </c>
      <c r="AV109" s="66">
        <f ca="1" t="shared" si="153"/>
        <v>83.38843910663117</v>
      </c>
      <c r="AW109" s="66">
        <f ca="1" t="shared" si="154"/>
        <v>2.0523008933688374</v>
      </c>
      <c r="AX109" s="63">
        <f ca="1" t="shared" si="155"/>
        <v>0</v>
      </c>
      <c r="AY109" s="67">
        <f ca="1" t="shared" si="115"/>
        <v>37.022604863069276</v>
      </c>
      <c r="AZ109" s="65">
        <f ca="1" t="shared" si="156"/>
        <v>0.04065110551867246</v>
      </c>
      <c r="BA109" s="68">
        <f ca="1" t="shared" si="116"/>
        <v>0.0012729031781859579</v>
      </c>
      <c r="BB109" s="169">
        <f t="shared" si="157"/>
        <v>78.386</v>
      </c>
      <c r="BC109" s="169">
        <f t="shared" si="158"/>
        <v>78.386</v>
      </c>
      <c r="BD109" s="169">
        <v>0</v>
      </c>
      <c r="BE109" s="171">
        <f t="shared" si="159"/>
        <v>0</v>
      </c>
      <c r="BF109" s="182">
        <v>0</v>
      </c>
      <c r="BG109" s="182">
        <f t="shared" si="160"/>
        <v>0</v>
      </c>
      <c r="BH109" s="182">
        <f t="shared" si="161"/>
        <v>0</v>
      </c>
      <c r="BI109" s="169">
        <f t="shared" si="162"/>
        <v>0</v>
      </c>
      <c r="BJ109" s="171">
        <f t="shared" si="163"/>
        <v>78.386</v>
      </c>
      <c r="BK109" s="171">
        <f t="shared" si="164"/>
        <v>1.5039436416907168</v>
      </c>
      <c r="BL109" s="171">
        <f t="shared" si="165"/>
        <v>79.8899436416907</v>
      </c>
      <c r="BM109" s="81">
        <f t="shared" si="166"/>
        <v>79.8899436416907</v>
      </c>
      <c r="BN109" s="63">
        <f t="shared" si="117"/>
        <v>78.386</v>
      </c>
      <c r="BO109" s="63">
        <f t="shared" si="167"/>
        <v>78.386</v>
      </c>
      <c r="BP109" s="63">
        <f t="shared" si="168"/>
        <v>0</v>
      </c>
      <c r="BQ109" s="63">
        <f t="shared" si="169"/>
        <v>1.5039436416907108</v>
      </c>
      <c r="BR109" s="67">
        <f t="shared" si="170"/>
        <v>34.790963136607154</v>
      </c>
      <c r="BS109" s="69">
        <f ca="1" t="shared" si="118"/>
        <v>1.09</v>
      </c>
      <c r="BT109" s="66">
        <f ca="1" t="shared" si="171"/>
        <v>85.44074</v>
      </c>
      <c r="BU109" s="66">
        <f ca="1" t="shared" si="172"/>
        <v>79.8899436416907</v>
      </c>
      <c r="BV109" s="66">
        <f ca="1" t="shared" si="173"/>
        <v>5.550796358309299</v>
      </c>
      <c r="BW109" s="63">
        <f ca="1" t="shared" si="174"/>
        <v>0</v>
      </c>
      <c r="BX109" s="67">
        <f ca="1" t="shared" si="119"/>
        <v>36.881098714720274</v>
      </c>
      <c r="BY109" s="65">
        <f ca="1" t="shared" si="175"/>
        <v>0.06007696797315365</v>
      </c>
      <c r="BZ109" s="68">
        <f ca="1" t="shared" si="120"/>
        <v>-0.00255411743527445</v>
      </c>
      <c r="CA109" s="81">
        <f t="shared" si="176"/>
        <v>78.386</v>
      </c>
      <c r="CB109" s="63">
        <f t="shared" si="177"/>
        <v>78.386</v>
      </c>
      <c r="CC109" s="67">
        <f t="shared" si="178"/>
        <v>35.90132553133049</v>
      </c>
      <c r="CD109" s="69">
        <f ca="1" t="shared" si="121"/>
        <v>1.09</v>
      </c>
      <c r="CE109" s="190">
        <f ca="1" t="shared" si="179"/>
        <v>85.44074</v>
      </c>
      <c r="CF109" s="70">
        <f ca="1" t="shared" si="180"/>
        <v>85.44074</v>
      </c>
      <c r="CG109" s="67">
        <f ca="1" t="shared" si="181"/>
        <v>39.30481757441425</v>
      </c>
      <c r="CH109" s="65">
        <f ca="1" t="shared" si="182"/>
        <v>0.09480129194989151</v>
      </c>
      <c r="CI109" s="65">
        <f ca="1" t="shared" si="122"/>
        <v>0.06299513357256825</v>
      </c>
      <c r="CJ109" s="68">
        <f ca="1" t="shared" si="183"/>
        <v>0.06571710019925736</v>
      </c>
      <c r="CL109" s="97">
        <f ca="1" t="shared" si="123"/>
        <v>27674744.23466757</v>
      </c>
      <c r="CM109" s="97">
        <f ca="1" t="shared" si="124"/>
        <v>27709971.50455936</v>
      </c>
      <c r="CN109" s="97">
        <f ca="1" t="shared" si="125"/>
        <v>27604059.687901042</v>
      </c>
      <c r="CO109" s="97">
        <f ca="1" t="shared" si="184"/>
        <v>29418118.44431712</v>
      </c>
      <c r="CQ109" s="97">
        <f t="shared" si="126"/>
        <v>23311510.645188063</v>
      </c>
      <c r="CR109" s="97">
        <f t="shared" si="127"/>
        <v>24428929.226330034</v>
      </c>
      <c r="CS109" s="97">
        <f t="shared" si="128"/>
        <v>23889610.063092533</v>
      </c>
      <c r="CT109" s="97">
        <f t="shared" si="185"/>
        <v>24652053.015146118</v>
      </c>
      <c r="CV109" s="97">
        <f ca="1" t="shared" si="129"/>
        <v>27674744.23466757</v>
      </c>
      <c r="CW109" s="97">
        <f ca="1" t="shared" si="186"/>
        <v>27709971.504559364</v>
      </c>
      <c r="CX109" s="97">
        <f ca="1" t="shared" si="187"/>
        <v>27709971.504559364</v>
      </c>
      <c r="CY109" s="97">
        <f ca="1" t="shared" si="188"/>
        <v>29418118.44431712</v>
      </c>
    </row>
    <row r="110" spans="2:103" ht="12.75">
      <c r="B110" s="14">
        <v>10294</v>
      </c>
      <c r="C110" s="15" t="s">
        <v>109</v>
      </c>
      <c r="D110" s="16">
        <f>RHWM!D97</f>
        <v>1</v>
      </c>
      <c r="E110" s="16">
        <f>RHWM!E97</f>
        <v>0</v>
      </c>
      <c r="F110" s="18">
        <f>RHWM!M97</f>
        <v>36.787</v>
      </c>
      <c r="G110" s="18">
        <f>RHWM!N97</f>
        <v>36.972</v>
      </c>
      <c r="H110" s="18">
        <f>RHWM!O97</f>
        <v>36.327</v>
      </c>
      <c r="I110" s="18">
        <f>MAX(F110-$H110,0)</f>
        <v>0.46000000000000085</v>
      </c>
      <c r="J110" s="18">
        <f>MAX(G110-$H110,0)</f>
        <v>0.6450000000000031</v>
      </c>
      <c r="K110" s="18">
        <f>I110</f>
        <v>0.46000000000000085</v>
      </c>
      <c r="L110" s="18">
        <f>J110</f>
        <v>0.6450000000000031</v>
      </c>
      <c r="M110" s="18">
        <v>0</v>
      </c>
      <c r="N110" s="18">
        <v>0</v>
      </c>
      <c r="O110" s="81">
        <f t="shared" si="130"/>
        <v>36.327</v>
      </c>
      <c r="P110" s="63">
        <f t="shared" si="131"/>
        <v>36.972</v>
      </c>
      <c r="Q110" s="63">
        <f t="shared" si="132"/>
        <v>36.327</v>
      </c>
      <c r="R110" s="63">
        <f t="shared" si="133"/>
        <v>0.6450000000000031</v>
      </c>
      <c r="S110" s="63">
        <f t="shared" si="134"/>
        <v>0</v>
      </c>
      <c r="T110" s="67">
        <f t="shared" si="109"/>
        <v>34.45796975780615</v>
      </c>
      <c r="U110" s="138">
        <f ca="1" t="shared" si="110"/>
        <v>1.14</v>
      </c>
      <c r="V110" s="66">
        <f ca="1" t="shared" si="111"/>
        <v>42.14808</v>
      </c>
      <c r="W110" s="66">
        <f ca="1" t="shared" si="135"/>
        <v>36.327</v>
      </c>
      <c r="X110" s="66">
        <f ca="1" t="shared" si="136"/>
        <v>5.821080000000002</v>
      </c>
      <c r="Y110" s="63">
        <f ca="1" t="shared" si="137"/>
        <v>0</v>
      </c>
      <c r="Z110" s="67">
        <f ca="1" t="shared" si="90"/>
        <v>38.8052408550201</v>
      </c>
      <c r="AA110" s="68">
        <f ca="1" t="shared" si="112"/>
        <v>0.12616155646341065</v>
      </c>
      <c r="AB110" s="169">
        <f t="shared" si="138"/>
        <v>36.327</v>
      </c>
      <c r="AC110" s="169">
        <f t="shared" si="139"/>
        <v>36.327</v>
      </c>
      <c r="AD110" s="169">
        <v>0.1355</v>
      </c>
      <c r="AE110" s="171">
        <f t="shared" si="140"/>
        <v>0.06775</v>
      </c>
      <c r="AF110" s="182">
        <v>0</v>
      </c>
      <c r="AG110" s="182">
        <f t="shared" si="141"/>
        <v>0</v>
      </c>
      <c r="AH110" s="182">
        <f t="shared" si="142"/>
        <v>0</v>
      </c>
      <c r="AI110" s="182">
        <v>0</v>
      </c>
      <c r="AJ110" s="171">
        <f t="shared" si="143"/>
        <v>0.32250000000000156</v>
      </c>
      <c r="AK110" s="171">
        <f t="shared" si="144"/>
        <v>36.71724999999999</v>
      </c>
      <c r="AL110" s="171">
        <f t="shared" si="145"/>
        <v>2.343222096904467</v>
      </c>
      <c r="AM110" s="171">
        <f t="shared" si="146"/>
        <v>39.06047209690446</v>
      </c>
      <c r="AN110" s="81">
        <f t="shared" si="147"/>
        <v>39.06047209690446</v>
      </c>
      <c r="AO110" s="63">
        <f t="shared" si="148"/>
        <v>36.972</v>
      </c>
      <c r="AP110" s="63">
        <f t="shared" si="149"/>
        <v>36.972</v>
      </c>
      <c r="AQ110" s="63">
        <f t="shared" si="150"/>
        <v>0</v>
      </c>
      <c r="AR110" s="63">
        <f t="shared" si="151"/>
        <v>2.088472096904461</v>
      </c>
      <c r="AS110" s="67">
        <f t="shared" si="113"/>
        <v>35.5763854636149</v>
      </c>
      <c r="AT110" s="65">
        <f ca="1" t="shared" si="114"/>
        <v>1.14</v>
      </c>
      <c r="AU110" s="66">
        <f ca="1" t="shared" si="152"/>
        <v>42.14808</v>
      </c>
      <c r="AV110" s="66">
        <f ca="1" t="shared" si="153"/>
        <v>39.06047209690446</v>
      </c>
      <c r="AW110" s="66">
        <f ca="1" t="shared" si="154"/>
        <v>3.087607903095538</v>
      </c>
      <c r="AX110" s="63">
        <f ca="1" t="shared" si="155"/>
        <v>0</v>
      </c>
      <c r="AY110" s="67">
        <f ca="1" t="shared" si="115"/>
        <v>38.339160779454204</v>
      </c>
      <c r="AZ110" s="65">
        <f ca="1" t="shared" si="156"/>
        <v>0.077657560762177</v>
      </c>
      <c r="BA110" s="68">
        <f ca="1" t="shared" si="116"/>
        <v>-0.012010750746457521</v>
      </c>
      <c r="BB110" s="169">
        <f t="shared" si="157"/>
        <v>36.327</v>
      </c>
      <c r="BC110" s="169">
        <f t="shared" si="158"/>
        <v>36.327</v>
      </c>
      <c r="BD110" s="169">
        <v>0.1355</v>
      </c>
      <c r="BE110" s="171">
        <f t="shared" si="159"/>
        <v>0.06775</v>
      </c>
      <c r="BF110" s="182">
        <v>0</v>
      </c>
      <c r="BG110" s="182">
        <f t="shared" si="160"/>
        <v>0</v>
      </c>
      <c r="BH110" s="182">
        <f t="shared" si="161"/>
        <v>0</v>
      </c>
      <c r="BI110" s="169">
        <f t="shared" si="162"/>
        <v>0.16125000000000078</v>
      </c>
      <c r="BJ110" s="171">
        <f t="shared" si="163"/>
        <v>36.556</v>
      </c>
      <c r="BK110" s="171">
        <f t="shared" si="164"/>
        <v>0.7013773348001665</v>
      </c>
      <c r="BL110" s="171">
        <f t="shared" si="165"/>
        <v>37.25737733480016</v>
      </c>
      <c r="BM110" s="81">
        <f t="shared" si="166"/>
        <v>37.25737733480016</v>
      </c>
      <c r="BN110" s="63">
        <f t="shared" si="117"/>
        <v>36.972</v>
      </c>
      <c r="BO110" s="63">
        <f t="shared" si="167"/>
        <v>36.972</v>
      </c>
      <c r="BP110" s="63">
        <f t="shared" si="168"/>
        <v>0</v>
      </c>
      <c r="BQ110" s="63">
        <f t="shared" si="169"/>
        <v>0.2853773348001596</v>
      </c>
      <c r="BR110" s="67">
        <f t="shared" si="170"/>
        <v>34.790963136607154</v>
      </c>
      <c r="BS110" s="69">
        <f ca="1" t="shared" si="118"/>
        <v>1.14</v>
      </c>
      <c r="BT110" s="66">
        <f ca="1" t="shared" si="171"/>
        <v>42.14808</v>
      </c>
      <c r="BU110" s="66">
        <f ca="1" t="shared" si="172"/>
        <v>37.25737733480016</v>
      </c>
      <c r="BV110" s="66">
        <f ca="1" t="shared" si="173"/>
        <v>4.890702665199839</v>
      </c>
      <c r="BW110" s="63">
        <f ca="1" t="shared" si="174"/>
        <v>0</v>
      </c>
      <c r="BX110" s="67">
        <f ca="1" t="shared" si="119"/>
        <v>38.31421263864671</v>
      </c>
      <c r="BY110" s="65">
        <f ca="1" t="shared" si="175"/>
        <v>0.10126909934069572</v>
      </c>
      <c r="BZ110" s="68">
        <f ca="1" t="shared" si="120"/>
        <v>-0.012653657226556536</v>
      </c>
      <c r="CA110" s="81">
        <f t="shared" si="176"/>
        <v>36.972</v>
      </c>
      <c r="CB110" s="63">
        <f t="shared" si="177"/>
        <v>36.972</v>
      </c>
      <c r="CC110" s="67">
        <f t="shared" si="178"/>
        <v>35.90132553133049</v>
      </c>
      <c r="CD110" s="69">
        <f ca="1" t="shared" si="121"/>
        <v>1.14</v>
      </c>
      <c r="CE110" s="190">
        <f ca="1" t="shared" si="179"/>
        <v>42.14808</v>
      </c>
      <c r="CF110" s="70">
        <f ca="1" t="shared" si="180"/>
        <v>42.14808</v>
      </c>
      <c r="CG110" s="67">
        <f ca="1" t="shared" si="181"/>
        <v>39.30481757441425</v>
      </c>
      <c r="CH110" s="65">
        <f ca="1" t="shared" si="182"/>
        <v>0.09480129194989151</v>
      </c>
      <c r="CI110" s="65">
        <f ca="1" t="shared" si="122"/>
        <v>0.012873949713664068</v>
      </c>
      <c r="CJ110" s="68">
        <f ca="1" t="shared" si="183"/>
        <v>0.025854764264902075</v>
      </c>
      <c r="CL110" s="97">
        <f ca="1" t="shared" si="123"/>
        <v>14327561.628755506</v>
      </c>
      <c r="CM110" s="97">
        <f ca="1" t="shared" si="124"/>
        <v>14155476.857228013</v>
      </c>
      <c r="CN110" s="97">
        <f ca="1" t="shared" si="125"/>
        <v>14146265.575012866</v>
      </c>
      <c r="CO110" s="97">
        <f ca="1" t="shared" si="184"/>
        <v>14512013.936683523</v>
      </c>
      <c r="CQ110" s="97">
        <f t="shared" si="126"/>
        <v>11160065.307077933</v>
      </c>
      <c r="CR110" s="97">
        <f t="shared" si="127"/>
        <v>11522291.880640347</v>
      </c>
      <c r="CS110" s="97">
        <f t="shared" si="128"/>
        <v>11267913.444398964</v>
      </c>
      <c r="CT110" s="97">
        <f t="shared" si="185"/>
        <v>11627531.754088515</v>
      </c>
      <c r="CV110" s="97">
        <f ca="1" t="shared" si="129"/>
        <v>14327561.628755504</v>
      </c>
      <c r="CW110" s="97">
        <f ca="1" t="shared" si="186"/>
        <v>14155476.85722801</v>
      </c>
      <c r="CX110" s="97">
        <f ca="1" t="shared" si="187"/>
        <v>14155476.85722801</v>
      </c>
      <c r="CY110" s="97">
        <f ca="1" t="shared" si="188"/>
        <v>14512013.936683524</v>
      </c>
    </row>
    <row r="111" spans="2:103" ht="12.75">
      <c r="B111" s="14">
        <v>10304</v>
      </c>
      <c r="C111" s="15" t="s">
        <v>110</v>
      </c>
      <c r="D111" s="16">
        <f>RHWM!D98</f>
        <v>1</v>
      </c>
      <c r="E111" s="16">
        <f>RHWM!E98</f>
        <v>0</v>
      </c>
      <c r="F111" s="18">
        <f>RHWM!M98</f>
        <v>13.414</v>
      </c>
      <c r="G111" s="18">
        <f>RHWM!N98</f>
        <v>13.445</v>
      </c>
      <c r="H111" s="18">
        <f>RHWM!O98</f>
        <v>14.068</v>
      </c>
      <c r="I111" s="18">
        <v>0</v>
      </c>
      <c r="J111" s="18">
        <v>0</v>
      </c>
      <c r="K111" s="18">
        <v>0</v>
      </c>
      <c r="L111" s="18">
        <v>0</v>
      </c>
      <c r="M111" s="18">
        <v>0</v>
      </c>
      <c r="N111" s="18">
        <v>0</v>
      </c>
      <c r="O111" s="81">
        <f t="shared" si="130"/>
        <v>14.068</v>
      </c>
      <c r="P111" s="63">
        <f t="shared" si="131"/>
        <v>13.445</v>
      </c>
      <c r="Q111" s="63">
        <f t="shared" si="132"/>
        <v>13.445</v>
      </c>
      <c r="R111" s="63">
        <f t="shared" si="133"/>
        <v>0</v>
      </c>
      <c r="S111" s="63">
        <f t="shared" si="134"/>
        <v>0.6229999999999993</v>
      </c>
      <c r="T111" s="67">
        <f t="shared" si="109"/>
        <v>33.949064274110405</v>
      </c>
      <c r="U111" s="138">
        <f ca="1" t="shared" si="110"/>
        <v>1.3</v>
      </c>
      <c r="V111" s="66">
        <f ca="1" t="shared" si="111"/>
        <v>17.4785</v>
      </c>
      <c r="W111" s="66">
        <f ca="1" t="shared" si="135"/>
        <v>14.068</v>
      </c>
      <c r="X111" s="66">
        <f ca="1" t="shared" si="136"/>
        <v>3.4105000000000008</v>
      </c>
      <c r="Y111" s="63">
        <f ca="1" t="shared" si="137"/>
        <v>0</v>
      </c>
      <c r="Z111" s="67">
        <f ca="1" t="shared" si="90"/>
        <v>40.41369670844408</v>
      </c>
      <c r="AA111" s="68">
        <f ca="1" t="shared" si="112"/>
        <v>0.1904215203734969</v>
      </c>
      <c r="AB111" s="169">
        <f t="shared" si="138"/>
        <v>13.445</v>
      </c>
      <c r="AC111" s="169">
        <f t="shared" si="139"/>
        <v>13.445</v>
      </c>
      <c r="AD111" s="169">
        <v>0</v>
      </c>
      <c r="AE111" s="171">
        <f t="shared" si="140"/>
        <v>0</v>
      </c>
      <c r="AF111" s="182">
        <v>0</v>
      </c>
      <c r="AG111" s="182">
        <f t="shared" si="141"/>
        <v>0</v>
      </c>
      <c r="AH111" s="182">
        <f t="shared" si="142"/>
        <v>0</v>
      </c>
      <c r="AI111" s="182">
        <v>0</v>
      </c>
      <c r="AJ111" s="171">
        <f t="shared" si="143"/>
        <v>0</v>
      </c>
      <c r="AK111" s="171">
        <f t="shared" si="144"/>
        <v>13.445</v>
      </c>
      <c r="AL111" s="171">
        <f t="shared" si="145"/>
        <v>0.8580332430364629</v>
      </c>
      <c r="AM111" s="171">
        <f t="shared" si="146"/>
        <v>14.303033243036463</v>
      </c>
      <c r="AN111" s="81">
        <f t="shared" si="147"/>
        <v>14.303033243036463</v>
      </c>
      <c r="AO111" s="63">
        <f t="shared" si="148"/>
        <v>13.445</v>
      </c>
      <c r="AP111" s="63">
        <f t="shared" si="149"/>
        <v>13.445</v>
      </c>
      <c r="AQ111" s="63">
        <f t="shared" si="150"/>
        <v>0</v>
      </c>
      <c r="AR111" s="63">
        <f t="shared" si="151"/>
        <v>0.8580332430364628</v>
      </c>
      <c r="AS111" s="67">
        <f t="shared" si="113"/>
        <v>35.5763854636149</v>
      </c>
      <c r="AT111" s="65">
        <f ca="1" t="shared" si="114"/>
        <v>1.3</v>
      </c>
      <c r="AU111" s="66">
        <f ca="1" t="shared" si="152"/>
        <v>17.4785</v>
      </c>
      <c r="AV111" s="66">
        <f ca="1" t="shared" si="153"/>
        <v>14.303033243036463</v>
      </c>
      <c r="AW111" s="66">
        <f ca="1" t="shared" si="154"/>
        <v>3.1754667569635373</v>
      </c>
      <c r="AX111" s="63">
        <f ca="1" t="shared" si="155"/>
        <v>0</v>
      </c>
      <c r="AY111" s="67">
        <f ca="1" t="shared" si="115"/>
        <v>41.23833792365039</v>
      </c>
      <c r="AZ111" s="65">
        <f ca="1" t="shared" si="156"/>
        <v>0.15914917679948548</v>
      </c>
      <c r="BA111" s="68">
        <f ca="1" t="shared" si="116"/>
        <v>0.0204049934148689</v>
      </c>
      <c r="BB111" s="169">
        <f t="shared" si="157"/>
        <v>13.445</v>
      </c>
      <c r="BC111" s="169">
        <f t="shared" si="158"/>
        <v>13.445</v>
      </c>
      <c r="BD111" s="169">
        <v>0</v>
      </c>
      <c r="BE111" s="171">
        <f t="shared" si="159"/>
        <v>0</v>
      </c>
      <c r="BF111" s="182">
        <v>0</v>
      </c>
      <c r="BG111" s="182">
        <f t="shared" si="160"/>
        <v>0</v>
      </c>
      <c r="BH111" s="182">
        <f t="shared" si="161"/>
        <v>0</v>
      </c>
      <c r="BI111" s="169">
        <f t="shared" si="162"/>
        <v>0</v>
      </c>
      <c r="BJ111" s="171">
        <f t="shared" si="163"/>
        <v>13.445</v>
      </c>
      <c r="BK111" s="171">
        <f t="shared" si="164"/>
        <v>0.2579608892216938</v>
      </c>
      <c r="BL111" s="171">
        <f t="shared" si="165"/>
        <v>13.702960889221695</v>
      </c>
      <c r="BM111" s="81">
        <f t="shared" si="166"/>
        <v>13.702960889221695</v>
      </c>
      <c r="BN111" s="63">
        <f t="shared" si="117"/>
        <v>13.445</v>
      </c>
      <c r="BO111" s="63">
        <f t="shared" si="167"/>
        <v>13.445</v>
      </c>
      <c r="BP111" s="63">
        <f t="shared" si="168"/>
        <v>0</v>
      </c>
      <c r="BQ111" s="63">
        <f t="shared" si="169"/>
        <v>0.25796088922169425</v>
      </c>
      <c r="BR111" s="67">
        <f t="shared" si="170"/>
        <v>34.790963136607154</v>
      </c>
      <c r="BS111" s="69">
        <f ca="1" t="shared" si="118"/>
        <v>1.3</v>
      </c>
      <c r="BT111" s="66">
        <f ca="1" t="shared" si="171"/>
        <v>17.4785</v>
      </c>
      <c r="BU111" s="66">
        <f ca="1" t="shared" si="172"/>
        <v>13.702960889221695</v>
      </c>
      <c r="BV111" s="66">
        <f ca="1" t="shared" si="173"/>
        <v>3.775539110778306</v>
      </c>
      <c r="BW111" s="63">
        <f ca="1" t="shared" si="174"/>
        <v>0</v>
      </c>
      <c r="BX111" s="67">
        <f ca="1" t="shared" si="119"/>
        <v>41.119690460803916</v>
      </c>
      <c r="BY111" s="65">
        <f ca="1" t="shared" si="175"/>
        <v>0.18190721824362655</v>
      </c>
      <c r="BZ111" s="68">
        <f ca="1" t="shared" si="120"/>
        <v>0.017469170352147678</v>
      </c>
      <c r="CA111" s="81">
        <f t="shared" si="176"/>
        <v>13.445</v>
      </c>
      <c r="CB111" s="63">
        <f t="shared" si="177"/>
        <v>13.445</v>
      </c>
      <c r="CC111" s="67">
        <f t="shared" si="178"/>
        <v>35.90132553133049</v>
      </c>
      <c r="CD111" s="69">
        <f ca="1" t="shared" si="121"/>
        <v>1.3</v>
      </c>
      <c r="CE111" s="190">
        <f ca="1" t="shared" si="179"/>
        <v>17.4785</v>
      </c>
      <c r="CF111" s="70">
        <f ca="1" t="shared" si="180"/>
        <v>17.4785</v>
      </c>
      <c r="CG111" s="67">
        <f ca="1" t="shared" si="181"/>
        <v>39.30481757441425</v>
      </c>
      <c r="CH111" s="65">
        <f ca="1" t="shared" si="182"/>
        <v>0.09480129194989151</v>
      </c>
      <c r="CI111" s="65">
        <f ca="1" t="shared" si="122"/>
        <v>-0.027438201014611363</v>
      </c>
      <c r="CJ111" s="68">
        <f ca="1" t="shared" si="183"/>
        <v>-0.0441363460194244</v>
      </c>
      <c r="CL111" s="97">
        <f ca="1" t="shared" si="123"/>
        <v>6187808.189766409</v>
      </c>
      <c r="CM111" s="97">
        <f ca="1" t="shared" si="124"/>
        <v>6314070.375131065</v>
      </c>
      <c r="CN111" s="97">
        <f ca="1" t="shared" si="125"/>
        <v>6295904.065139852</v>
      </c>
      <c r="CO111" s="97">
        <f ca="1" t="shared" si="184"/>
        <v>6018025.86481574</v>
      </c>
      <c r="CQ111" s="97">
        <f t="shared" si="126"/>
        <v>3998459.68188903</v>
      </c>
      <c r="CR111" s="97">
        <f t="shared" si="127"/>
        <v>4190122.642410728</v>
      </c>
      <c r="CS111" s="97">
        <f t="shared" si="128"/>
        <v>4097617.0144959446</v>
      </c>
      <c r="CT111" s="97">
        <f t="shared" si="185"/>
        <v>4228393.498694149</v>
      </c>
      <c r="CV111" s="97">
        <f ca="1" t="shared" si="129"/>
        <v>6187808.189766409</v>
      </c>
      <c r="CW111" s="97">
        <f ca="1" t="shared" si="186"/>
        <v>6314070.375131065</v>
      </c>
      <c r="CX111" s="97">
        <f ca="1" t="shared" si="187"/>
        <v>6314070.375131065</v>
      </c>
      <c r="CY111" s="97">
        <f ca="1" t="shared" si="188"/>
        <v>6018025.86481574</v>
      </c>
    </row>
    <row r="112" spans="2:103" ht="12.75">
      <c r="B112" s="14">
        <v>10306</v>
      </c>
      <c r="C112" s="15" t="s">
        <v>111</v>
      </c>
      <c r="D112" s="16">
        <f>RHWM!D99</f>
        <v>1</v>
      </c>
      <c r="E112" s="16">
        <f>RHWM!E99</f>
        <v>0</v>
      </c>
      <c r="F112" s="18">
        <f>RHWM!M99</f>
        <v>25.768999999999988</v>
      </c>
      <c r="G112" s="18">
        <f>RHWM!N99</f>
        <v>25.76899999999999</v>
      </c>
      <c r="H112" s="18">
        <f>RHWM!O99</f>
        <v>25.769</v>
      </c>
      <c r="I112" s="18">
        <v>0</v>
      </c>
      <c r="J112" s="18">
        <v>0</v>
      </c>
      <c r="K112" s="18">
        <v>0</v>
      </c>
      <c r="L112" s="18">
        <v>0</v>
      </c>
      <c r="M112" s="18">
        <v>0</v>
      </c>
      <c r="N112" s="18">
        <v>0</v>
      </c>
      <c r="O112" s="81">
        <f t="shared" si="130"/>
        <v>25.769</v>
      </c>
      <c r="P112" s="63">
        <f t="shared" si="131"/>
        <v>25.76899999999999</v>
      </c>
      <c r="Q112" s="63">
        <f t="shared" si="132"/>
        <v>25.76899999999999</v>
      </c>
      <c r="R112" s="63">
        <f t="shared" si="133"/>
        <v>0</v>
      </c>
      <c r="S112" s="63">
        <f t="shared" si="134"/>
        <v>7.105427357601002E-15</v>
      </c>
      <c r="T112" s="67">
        <f t="shared" si="109"/>
        <v>33.949064274110405</v>
      </c>
      <c r="U112" s="138">
        <f ca="1" t="shared" si="110"/>
        <v>1.32</v>
      </c>
      <c r="V112" s="66">
        <f ca="1" t="shared" si="111"/>
        <v>34.01507999999999</v>
      </c>
      <c r="W112" s="66">
        <f ca="1" t="shared" si="135"/>
        <v>25.769</v>
      </c>
      <c r="X112" s="66">
        <f ca="1" t="shared" si="136"/>
        <v>8.246079999999992</v>
      </c>
      <c r="Y112" s="63">
        <f ca="1" t="shared" si="137"/>
        <v>0</v>
      </c>
      <c r="Z112" s="67">
        <f ca="1" t="shared" si="90"/>
        <v>41.74804246896781</v>
      </c>
      <c r="AA112" s="68">
        <f ca="1" t="shared" si="112"/>
        <v>0.22972586613543022</v>
      </c>
      <c r="AB112" s="169">
        <f t="shared" si="138"/>
        <v>25.76899999999999</v>
      </c>
      <c r="AC112" s="169">
        <f t="shared" si="139"/>
        <v>25.76899999999999</v>
      </c>
      <c r="AD112" s="169">
        <v>0.006</v>
      </c>
      <c r="AE112" s="171">
        <f t="shared" si="140"/>
        <v>0.003</v>
      </c>
      <c r="AF112" s="182">
        <v>0</v>
      </c>
      <c r="AG112" s="182">
        <f t="shared" si="141"/>
        <v>0</v>
      </c>
      <c r="AH112" s="182">
        <f t="shared" si="142"/>
        <v>0</v>
      </c>
      <c r="AI112" s="182">
        <v>57.46</v>
      </c>
      <c r="AJ112" s="171">
        <f t="shared" si="143"/>
        <v>0</v>
      </c>
      <c r="AK112" s="171">
        <f t="shared" si="144"/>
        <v>25.77199999999999</v>
      </c>
      <c r="AL112" s="171">
        <f t="shared" si="145"/>
        <v>1.644717942695107</v>
      </c>
      <c r="AM112" s="171">
        <f t="shared" si="146"/>
        <v>27.416717942695097</v>
      </c>
      <c r="AN112" s="81">
        <f t="shared" si="147"/>
        <v>27.416717942695097</v>
      </c>
      <c r="AO112" s="63">
        <f t="shared" si="148"/>
        <v>25.76899999999999</v>
      </c>
      <c r="AP112" s="63">
        <f t="shared" si="149"/>
        <v>25.76899999999999</v>
      </c>
      <c r="AQ112" s="63">
        <f t="shared" si="150"/>
        <v>0</v>
      </c>
      <c r="AR112" s="63">
        <f t="shared" si="151"/>
        <v>1.647717942695106</v>
      </c>
      <c r="AS112" s="67">
        <f t="shared" si="113"/>
        <v>35.5763854636149</v>
      </c>
      <c r="AT112" s="65">
        <f ca="1" t="shared" si="114"/>
        <v>1.32</v>
      </c>
      <c r="AU112" s="66">
        <f ca="1" t="shared" si="152"/>
        <v>34.01507999999999</v>
      </c>
      <c r="AV112" s="66">
        <f ca="1" t="shared" si="153"/>
        <v>27.416717942695097</v>
      </c>
      <c r="AW112" s="66">
        <f ca="1" t="shared" si="154"/>
        <v>6.598362057304893</v>
      </c>
      <c r="AX112" s="63">
        <f ca="1" t="shared" si="155"/>
        <v>0</v>
      </c>
      <c r="AY112" s="67">
        <f ca="1" t="shared" si="115"/>
        <v>41.5673694155302</v>
      </c>
      <c r="AZ112" s="65">
        <f ca="1" t="shared" si="156"/>
        <v>0.16839776930240635</v>
      </c>
      <c r="BA112" s="68">
        <f ca="1" t="shared" si="116"/>
        <v>-0.004327701198730605</v>
      </c>
      <c r="BB112" s="169">
        <f t="shared" si="157"/>
        <v>25.76899999999999</v>
      </c>
      <c r="BC112" s="169">
        <f t="shared" si="158"/>
        <v>25.76899999999999</v>
      </c>
      <c r="BD112" s="169">
        <v>0.006</v>
      </c>
      <c r="BE112" s="171">
        <f t="shared" si="159"/>
        <v>0.003</v>
      </c>
      <c r="BF112" s="182">
        <v>0</v>
      </c>
      <c r="BG112" s="182">
        <f t="shared" si="160"/>
        <v>0</v>
      </c>
      <c r="BH112" s="182">
        <f t="shared" si="161"/>
        <v>0</v>
      </c>
      <c r="BI112" s="169">
        <f t="shared" si="162"/>
        <v>0</v>
      </c>
      <c r="BJ112" s="171">
        <f t="shared" si="163"/>
        <v>25.77199999999999</v>
      </c>
      <c r="BK112" s="171">
        <f t="shared" si="164"/>
        <v>0.4944714047617323</v>
      </c>
      <c r="BL112" s="171">
        <f t="shared" si="165"/>
        <v>26.266471404761724</v>
      </c>
      <c r="BM112" s="81">
        <f t="shared" si="166"/>
        <v>26.266471404761724</v>
      </c>
      <c r="BN112" s="63">
        <f t="shared" si="117"/>
        <v>25.76899999999999</v>
      </c>
      <c r="BO112" s="63">
        <f t="shared" si="167"/>
        <v>25.76899999999999</v>
      </c>
      <c r="BP112" s="63">
        <f t="shared" si="168"/>
        <v>0</v>
      </c>
      <c r="BQ112" s="63">
        <f t="shared" si="169"/>
        <v>0.49747140476173257</v>
      </c>
      <c r="BR112" s="67">
        <f t="shared" si="170"/>
        <v>34.790963136607154</v>
      </c>
      <c r="BS112" s="69">
        <f ca="1" t="shared" si="118"/>
        <v>1.32</v>
      </c>
      <c r="BT112" s="66">
        <f ca="1" t="shared" si="171"/>
        <v>34.01507999999999</v>
      </c>
      <c r="BU112" s="66">
        <f ca="1" t="shared" si="172"/>
        <v>26.266471404761724</v>
      </c>
      <c r="BV112" s="66">
        <f ca="1" t="shared" si="173"/>
        <v>7.748608595238267</v>
      </c>
      <c r="BW112" s="63">
        <f ca="1" t="shared" si="174"/>
        <v>0</v>
      </c>
      <c r="BX112" s="67">
        <f ca="1" t="shared" si="119"/>
        <v>41.450506037986386</v>
      </c>
      <c r="BY112" s="65">
        <f ca="1" t="shared" si="175"/>
        <v>0.19141588219993944</v>
      </c>
      <c r="BZ112" s="68">
        <f ca="1" t="shared" si="120"/>
        <v>-0.007126955262695023</v>
      </c>
      <c r="CA112" s="81">
        <f t="shared" si="176"/>
        <v>25.76899999999999</v>
      </c>
      <c r="CB112" s="63">
        <f t="shared" si="177"/>
        <v>25.76899999999999</v>
      </c>
      <c r="CC112" s="67">
        <f t="shared" si="178"/>
        <v>35.90132553133049</v>
      </c>
      <c r="CD112" s="69">
        <f ca="1" t="shared" si="121"/>
        <v>1.32</v>
      </c>
      <c r="CE112" s="190">
        <f ca="1" t="shared" si="179"/>
        <v>34.01507999999999</v>
      </c>
      <c r="CF112" s="70">
        <f ca="1" t="shared" si="180"/>
        <v>34.01507999999999</v>
      </c>
      <c r="CG112" s="67">
        <f ca="1" t="shared" si="181"/>
        <v>39.30481757441425</v>
      </c>
      <c r="CH112" s="65">
        <f ca="1" t="shared" si="182"/>
        <v>0.09480129194989151</v>
      </c>
      <c r="CI112" s="65">
        <f ca="1" t="shared" si="122"/>
        <v>-0.058523100726690536</v>
      </c>
      <c r="CJ112" s="68">
        <f ca="1" t="shared" si="183"/>
        <v>-0.051765072822169356</v>
      </c>
      <c r="CL112" s="97">
        <f ca="1" t="shared" si="123"/>
        <v>12439751.918765951</v>
      </c>
      <c r="CM112" s="97">
        <f ca="1" t="shared" si="124"/>
        <v>12385916.3894752</v>
      </c>
      <c r="CN112" s="97">
        <f ca="1" t="shared" si="125"/>
        <v>12351094.363361886</v>
      </c>
      <c r="CO112" s="97">
        <f ca="1" t="shared" si="184"/>
        <v>11711739.064208971</v>
      </c>
      <c r="CQ112" s="97">
        <f t="shared" si="126"/>
        <v>7663540.910568864</v>
      </c>
      <c r="CR112" s="97">
        <f t="shared" si="127"/>
        <v>8030886.602624173</v>
      </c>
      <c r="CS112" s="97">
        <f t="shared" si="128"/>
        <v>7853588.162628929</v>
      </c>
      <c r="CT112" s="97">
        <f t="shared" si="185"/>
        <v>8104237.416723651</v>
      </c>
      <c r="CV112" s="97">
        <f ca="1" t="shared" si="129"/>
        <v>12439751.918765955</v>
      </c>
      <c r="CW112" s="97">
        <f ca="1" t="shared" si="186"/>
        <v>12385916.389475198</v>
      </c>
      <c r="CX112" s="97">
        <f ca="1" t="shared" si="187"/>
        <v>12385916.389475198</v>
      </c>
      <c r="CY112" s="97">
        <f ca="1" t="shared" si="188"/>
        <v>11711739.064208971</v>
      </c>
    </row>
    <row r="113" spans="2:103" ht="12.75">
      <c r="B113" s="14">
        <v>10307</v>
      </c>
      <c r="C113" s="15" t="s">
        <v>112</v>
      </c>
      <c r="D113" s="16">
        <f>RHWM!D100</f>
        <v>1</v>
      </c>
      <c r="E113" s="16">
        <f>RHWM!E100</f>
        <v>0</v>
      </c>
      <c r="F113" s="18">
        <f>RHWM!M100</f>
        <v>68.665</v>
      </c>
      <c r="G113" s="18">
        <f>RHWM!N100</f>
        <v>68.701</v>
      </c>
      <c r="H113" s="18">
        <f>RHWM!O100</f>
        <v>71.985</v>
      </c>
      <c r="I113" s="18">
        <v>0</v>
      </c>
      <c r="J113" s="18">
        <v>0</v>
      </c>
      <c r="K113" s="18">
        <v>0</v>
      </c>
      <c r="L113" s="18">
        <v>0</v>
      </c>
      <c r="M113" s="18">
        <v>0</v>
      </c>
      <c r="N113" s="18">
        <v>0</v>
      </c>
      <c r="O113" s="81">
        <f t="shared" si="130"/>
        <v>71.985</v>
      </c>
      <c r="P113" s="63">
        <f t="shared" si="131"/>
        <v>68.701</v>
      </c>
      <c r="Q113" s="63">
        <f t="shared" si="132"/>
        <v>68.701</v>
      </c>
      <c r="R113" s="63">
        <f t="shared" si="133"/>
        <v>0</v>
      </c>
      <c r="S113" s="63">
        <f t="shared" si="134"/>
        <v>3.284000000000006</v>
      </c>
      <c r="T113" s="67">
        <f aca="true" t="shared" si="189" ref="T113:T144">(Q113*$T$14+R113*$T$5)/(Q113+R113)</f>
        <v>33.949064274110405</v>
      </c>
      <c r="U113" s="138">
        <f aca="true" t="shared" si="190" ref="U113:U144">RANDBETWEEN($Z$2,$Z$3)/100</f>
        <v>1.04</v>
      </c>
      <c r="V113" s="66">
        <f aca="true" t="shared" si="191" ref="V113:V144">G113*U113</f>
        <v>71.44904</v>
      </c>
      <c r="W113" s="66">
        <f ca="1" t="shared" si="135"/>
        <v>71.44904</v>
      </c>
      <c r="X113" s="66">
        <f ca="1" t="shared" si="136"/>
        <v>0</v>
      </c>
      <c r="Y113" s="63">
        <f ca="1" t="shared" si="137"/>
        <v>0.5359600000000029</v>
      </c>
      <c r="Z113" s="67">
        <f aca="true" t="shared" si="192" ref="Z113:Z151">(W113*$Z$14+X113*$T$5)/(W113+X113)</f>
        <v>34.90901605903751</v>
      </c>
      <c r="AA113" s="68">
        <f aca="true" t="shared" si="193" ref="AA113:AA144">Z113/T113-1</f>
        <v>0.028276236928838294</v>
      </c>
      <c r="AB113" s="169">
        <f t="shared" si="138"/>
        <v>68.701</v>
      </c>
      <c r="AC113" s="169">
        <f t="shared" si="139"/>
        <v>68.701</v>
      </c>
      <c r="AD113" s="169">
        <v>0.6120000000000001</v>
      </c>
      <c r="AE113" s="171">
        <f t="shared" si="140"/>
        <v>0.30600000000000005</v>
      </c>
      <c r="AF113" s="182">
        <v>0</v>
      </c>
      <c r="AG113" s="182">
        <f t="shared" si="141"/>
        <v>0</v>
      </c>
      <c r="AH113" s="182">
        <f t="shared" si="142"/>
        <v>0</v>
      </c>
      <c r="AI113" s="182">
        <v>0</v>
      </c>
      <c r="AJ113" s="171">
        <f t="shared" si="143"/>
        <v>0</v>
      </c>
      <c r="AK113" s="171">
        <f t="shared" si="144"/>
        <v>69.00699999999999</v>
      </c>
      <c r="AL113" s="171">
        <f t="shared" si="145"/>
        <v>4.403889922068961</v>
      </c>
      <c r="AM113" s="171">
        <f t="shared" si="146"/>
        <v>73.41088992206895</v>
      </c>
      <c r="AN113" s="81">
        <f t="shared" si="147"/>
        <v>73.41088992206895</v>
      </c>
      <c r="AO113" s="63">
        <f t="shared" si="148"/>
        <v>68.701</v>
      </c>
      <c r="AP113" s="63">
        <f t="shared" si="149"/>
        <v>68.701</v>
      </c>
      <c r="AQ113" s="63">
        <f t="shared" si="150"/>
        <v>0</v>
      </c>
      <c r="AR113" s="63">
        <f t="shared" si="151"/>
        <v>4.709889922068953</v>
      </c>
      <c r="AS113" s="67">
        <f aca="true" t="shared" si="194" ref="AS113:AS144">(AP113*$AS$14+AQ113*$T$5)/(AP113+AQ113)</f>
        <v>35.5763854636149</v>
      </c>
      <c r="AT113" s="65">
        <f aca="true" t="shared" si="195" ref="AT113:AT144">U113</f>
        <v>1.04</v>
      </c>
      <c r="AU113" s="66">
        <f ca="1" t="shared" si="152"/>
        <v>71.44904</v>
      </c>
      <c r="AV113" s="66">
        <f ca="1" t="shared" si="153"/>
        <v>71.44904</v>
      </c>
      <c r="AW113" s="66">
        <f ca="1" t="shared" si="154"/>
        <v>0</v>
      </c>
      <c r="AX113" s="63">
        <f ca="1" t="shared" si="155"/>
        <v>1.96184992206895</v>
      </c>
      <c r="AY113" s="67">
        <f aca="true" t="shared" si="196" ref="AY113:AY144">(AV113*$AY$14+AW113*$T$5)/(AV113+AW113)</f>
        <v>36.38031310262951</v>
      </c>
      <c r="AZ113" s="65">
        <f ca="1" t="shared" si="156"/>
        <v>0.0225972264618286</v>
      </c>
      <c r="BA113" s="68">
        <f aca="true" t="shared" si="197" ref="BA113:BA144">AY113/Z113-1</f>
        <v>0.0421466202629075</v>
      </c>
      <c r="BB113" s="169">
        <f t="shared" si="157"/>
        <v>68.701</v>
      </c>
      <c r="BC113" s="169">
        <f t="shared" si="158"/>
        <v>68.701</v>
      </c>
      <c r="BD113" s="169">
        <v>0.6120000000000001</v>
      </c>
      <c r="BE113" s="171">
        <f t="shared" si="159"/>
        <v>0.30600000000000005</v>
      </c>
      <c r="BF113" s="182">
        <v>0</v>
      </c>
      <c r="BG113" s="182">
        <f t="shared" si="160"/>
        <v>0</v>
      </c>
      <c r="BH113" s="182">
        <f t="shared" si="161"/>
        <v>0</v>
      </c>
      <c r="BI113" s="169">
        <f t="shared" si="162"/>
        <v>0</v>
      </c>
      <c r="BJ113" s="171">
        <f t="shared" si="163"/>
        <v>69.00699999999999</v>
      </c>
      <c r="BK113" s="171">
        <f t="shared" si="164"/>
        <v>1.3239945766099979</v>
      </c>
      <c r="BL113" s="171">
        <f t="shared" si="165"/>
        <v>70.33099457660998</v>
      </c>
      <c r="BM113" s="81">
        <f t="shared" si="166"/>
        <v>70.33099457660998</v>
      </c>
      <c r="BN113" s="63">
        <f aca="true" t="shared" si="198" ref="BN113:BN144">P113</f>
        <v>68.701</v>
      </c>
      <c r="BO113" s="63">
        <f t="shared" si="167"/>
        <v>68.701</v>
      </c>
      <c r="BP113" s="63">
        <f t="shared" si="168"/>
        <v>0</v>
      </c>
      <c r="BQ113" s="63">
        <f t="shared" si="169"/>
        <v>1.6299945766099881</v>
      </c>
      <c r="BR113" s="67">
        <f t="shared" si="170"/>
        <v>34.790963136607154</v>
      </c>
      <c r="BS113" s="69">
        <f aca="true" t="shared" si="199" ref="BS113:BS144">U113</f>
        <v>1.04</v>
      </c>
      <c r="BT113" s="66">
        <f ca="1" t="shared" si="171"/>
        <v>71.44904</v>
      </c>
      <c r="BU113" s="66">
        <f ca="1" t="shared" si="172"/>
        <v>70.33099457660998</v>
      </c>
      <c r="BV113" s="66">
        <f ca="1" t="shared" si="173"/>
        <v>1.118045423390015</v>
      </c>
      <c r="BW113" s="63">
        <f ca="1" t="shared" si="174"/>
        <v>0</v>
      </c>
      <c r="BX113" s="67">
        <f aca="true" t="shared" si="200" ref="BX113:BX144">(BU113*$BX$14+BV113*$T$5)/(BU113+BV113)</f>
        <v>35.49712405257377</v>
      </c>
      <c r="BY113" s="65">
        <f ca="1" t="shared" si="175"/>
        <v>0.02029725113368852</v>
      </c>
      <c r="BZ113" s="68">
        <f aca="true" t="shared" si="201" ref="BZ113:BZ144">BX113/Z113-1</f>
        <v>0.01684687968694565</v>
      </c>
      <c r="CA113" s="81">
        <f t="shared" si="176"/>
        <v>68.701</v>
      </c>
      <c r="CB113" s="63">
        <f t="shared" si="177"/>
        <v>68.701</v>
      </c>
      <c r="CC113" s="67">
        <f t="shared" si="178"/>
        <v>35.90132553133049</v>
      </c>
      <c r="CD113" s="69">
        <f aca="true" t="shared" si="202" ref="CD113:CD144">U113</f>
        <v>1.04</v>
      </c>
      <c r="CE113" s="190">
        <f ca="1" t="shared" si="179"/>
        <v>71.44904</v>
      </c>
      <c r="CF113" s="70">
        <f ca="1" t="shared" si="180"/>
        <v>71.44904</v>
      </c>
      <c r="CG113" s="67">
        <f ca="1" t="shared" si="181"/>
        <v>39.30481757441425</v>
      </c>
      <c r="CH113" s="65">
        <f ca="1" t="shared" si="182"/>
        <v>0.09480129194989151</v>
      </c>
      <c r="CI113" s="65">
        <f aca="true" t="shared" si="203" ref="CI113:CI144">CG113/Z113-1</f>
        <v>0.1259216675698518</v>
      </c>
      <c r="CJ113" s="68">
        <f ca="1" t="shared" si="183"/>
        <v>0.10726766247882558</v>
      </c>
      <c r="CL113" s="97">
        <f aca="true" t="shared" si="204" ref="CL113:CL144">W113*$Z$14*8760+X113*$T$5*8760</f>
        <v>21849329.398522247</v>
      </c>
      <c r="CM113" s="97">
        <f aca="true" t="shared" si="205" ref="CM113:CM144">AV113*$AY$14*8760+AW113*$T$5*8760</f>
        <v>22770204.787680943</v>
      </c>
      <c r="CN113" s="97">
        <f aca="true" t="shared" si="206" ref="CN113:CN144">BU113*$BX$14*8760+BV113*$T$5*8760</f>
        <v>22217422.42213959</v>
      </c>
      <c r="CO113" s="97">
        <f ca="1" t="shared" si="184"/>
        <v>24600633.391667154</v>
      </c>
      <c r="CQ113" s="97">
        <f aca="true" t="shared" si="207" ref="CQ113:CQ144">Q113*8760*$T$14+R113*8760*$T$5</f>
        <v>20431251.66273397</v>
      </c>
      <c r="CR113" s="97">
        <f aca="true" t="shared" si="208" ref="CR113:CR144">AP113*8760*$AS$14+AQ113*8760*$T$5</f>
        <v>21410607.337765668</v>
      </c>
      <c r="CS113" s="97">
        <f aca="true" t="shared" si="209" ref="CS113:CS144">BO113*8760*$BR$14+BP113*8760*$T$5</f>
        <v>20937923.876004897</v>
      </c>
      <c r="CT113" s="97">
        <f t="shared" si="185"/>
        <v>21606163.016272716</v>
      </c>
      <c r="CV113" s="97">
        <f aca="true" t="shared" si="210" ref="CV113:CV144">Z113*8760*V113</f>
        <v>21849329.398522243</v>
      </c>
      <c r="CW113" s="97">
        <f ca="1" t="shared" si="186"/>
        <v>22770204.787680943</v>
      </c>
      <c r="CX113" s="97">
        <f ca="1" t="shared" si="187"/>
        <v>22770204.787680943</v>
      </c>
      <c r="CY113" s="97">
        <f ca="1" t="shared" si="188"/>
        <v>24600633.391667154</v>
      </c>
    </row>
    <row r="114" spans="2:103" ht="12.75">
      <c r="B114" s="14">
        <v>10326</v>
      </c>
      <c r="C114" s="15" t="s">
        <v>113</v>
      </c>
      <c r="D114" s="16">
        <f>RHWM!D101</f>
        <v>1</v>
      </c>
      <c r="E114" s="16">
        <f>RHWM!E101</f>
        <v>0</v>
      </c>
      <c r="F114" s="18">
        <f>RHWM!M101</f>
        <v>34.292</v>
      </c>
      <c r="G114" s="18">
        <f>RHWM!N101</f>
        <v>35.805</v>
      </c>
      <c r="H114" s="18">
        <f>RHWM!O101</f>
        <v>30.46</v>
      </c>
      <c r="I114" s="18">
        <v>3.832</v>
      </c>
      <c r="J114" s="18">
        <v>5.345</v>
      </c>
      <c r="K114" s="18">
        <v>0</v>
      </c>
      <c r="L114" s="18">
        <v>0</v>
      </c>
      <c r="M114" s="18">
        <v>3.832</v>
      </c>
      <c r="N114" s="18">
        <v>5.345</v>
      </c>
      <c r="O114" s="81">
        <f t="shared" si="130"/>
        <v>30.46</v>
      </c>
      <c r="P114" s="63">
        <f t="shared" si="131"/>
        <v>35.805</v>
      </c>
      <c r="Q114" s="63">
        <f t="shared" si="132"/>
        <v>30.46</v>
      </c>
      <c r="R114" s="63">
        <f t="shared" si="133"/>
        <v>5.344999999999999</v>
      </c>
      <c r="S114" s="63">
        <f t="shared" si="134"/>
        <v>0</v>
      </c>
      <c r="T114" s="67">
        <f t="shared" si="189"/>
        <v>38.30372567488906</v>
      </c>
      <c r="U114" s="138">
        <f ca="1" t="shared" si="190"/>
        <v>1.1</v>
      </c>
      <c r="V114" s="66">
        <f ca="1" t="shared" si="191"/>
        <v>39.3855</v>
      </c>
      <c r="W114" s="66">
        <f ca="1" t="shared" si="135"/>
        <v>30.46</v>
      </c>
      <c r="X114" s="66">
        <f ca="1" t="shared" si="136"/>
        <v>8.9255</v>
      </c>
      <c r="Y114" s="63">
        <f ca="1" t="shared" si="137"/>
        <v>0</v>
      </c>
      <c r="Z114" s="67">
        <f ca="1" t="shared" si="192"/>
        <v>41.302159148881756</v>
      </c>
      <c r="AA114" s="68">
        <f ca="1" t="shared" si="193"/>
        <v>0.07828046544199219</v>
      </c>
      <c r="AB114" s="169">
        <f t="shared" si="138"/>
        <v>30.46</v>
      </c>
      <c r="AC114" s="169">
        <f t="shared" si="139"/>
        <v>30.46</v>
      </c>
      <c r="AD114" s="169">
        <v>0</v>
      </c>
      <c r="AE114" s="171">
        <f t="shared" si="140"/>
        <v>0</v>
      </c>
      <c r="AF114" s="182">
        <v>0</v>
      </c>
      <c r="AG114" s="182">
        <f t="shared" si="141"/>
        <v>0</v>
      </c>
      <c r="AH114" s="182">
        <f t="shared" si="142"/>
        <v>0</v>
      </c>
      <c r="AI114" s="182">
        <v>0</v>
      </c>
      <c r="AJ114" s="171">
        <f t="shared" si="143"/>
        <v>2.6724999999999994</v>
      </c>
      <c r="AK114" s="171">
        <f t="shared" si="144"/>
        <v>33.1325</v>
      </c>
      <c r="AL114" s="171">
        <f t="shared" si="145"/>
        <v>2.1144504592715214</v>
      </c>
      <c r="AM114" s="171">
        <f t="shared" si="146"/>
        <v>35.246950459271524</v>
      </c>
      <c r="AN114" s="81">
        <f t="shared" si="147"/>
        <v>35.246950459271524</v>
      </c>
      <c r="AO114" s="63">
        <f t="shared" si="148"/>
        <v>35.805</v>
      </c>
      <c r="AP114" s="63">
        <f t="shared" si="149"/>
        <v>35.246950459271524</v>
      </c>
      <c r="AQ114" s="63">
        <f t="shared" si="150"/>
        <v>0.5580495407284758</v>
      </c>
      <c r="AR114" s="63">
        <f t="shared" si="151"/>
        <v>0</v>
      </c>
      <c r="AS114" s="67">
        <f t="shared" si="194"/>
        <v>36.00567470930773</v>
      </c>
      <c r="AT114" s="65">
        <f ca="1" t="shared" si="195"/>
        <v>1.1</v>
      </c>
      <c r="AU114" s="66">
        <f ca="1" t="shared" si="152"/>
        <v>39.3855</v>
      </c>
      <c r="AV114" s="66">
        <f ca="1" t="shared" si="153"/>
        <v>35.246950459271524</v>
      </c>
      <c r="AW114" s="66">
        <f ca="1" t="shared" si="154"/>
        <v>4.1385495407284765</v>
      </c>
      <c r="AX114" s="63">
        <f ca="1" t="shared" si="155"/>
        <v>0</v>
      </c>
      <c r="AY114" s="67">
        <f ca="1" t="shared" si="196"/>
        <v>39.19006590323724</v>
      </c>
      <c r="AZ114" s="65">
        <f ca="1" t="shared" si="156"/>
        <v>0.08844136985735518</v>
      </c>
      <c r="BA114" s="68">
        <f ca="1" t="shared" si="197"/>
        <v>-0.051137598836687004</v>
      </c>
      <c r="BB114" s="169">
        <f t="shared" si="157"/>
        <v>30.46</v>
      </c>
      <c r="BC114" s="169">
        <f t="shared" si="158"/>
        <v>30.46</v>
      </c>
      <c r="BD114" s="169">
        <v>0</v>
      </c>
      <c r="BE114" s="171">
        <f t="shared" si="159"/>
        <v>0</v>
      </c>
      <c r="BF114" s="182">
        <v>0</v>
      </c>
      <c r="BG114" s="182">
        <f t="shared" si="160"/>
        <v>0</v>
      </c>
      <c r="BH114" s="182">
        <f t="shared" si="161"/>
        <v>0</v>
      </c>
      <c r="BI114" s="169">
        <f t="shared" si="162"/>
        <v>1.3362499999999997</v>
      </c>
      <c r="BJ114" s="171">
        <f t="shared" si="163"/>
        <v>31.79625</v>
      </c>
      <c r="BK114" s="171">
        <f t="shared" si="164"/>
        <v>0.6100549590119213</v>
      </c>
      <c r="BL114" s="171">
        <f t="shared" si="165"/>
        <v>32.40630495901192</v>
      </c>
      <c r="BM114" s="81">
        <f t="shared" si="166"/>
        <v>32.40630495901192</v>
      </c>
      <c r="BN114" s="63">
        <f t="shared" si="198"/>
        <v>35.805</v>
      </c>
      <c r="BO114" s="63">
        <f t="shared" si="167"/>
        <v>32.40630495901192</v>
      </c>
      <c r="BP114" s="63">
        <f t="shared" si="168"/>
        <v>3.3986950409880805</v>
      </c>
      <c r="BQ114" s="63">
        <f t="shared" si="169"/>
        <v>0</v>
      </c>
      <c r="BR114" s="67">
        <f t="shared" si="170"/>
        <v>37.48002212567521</v>
      </c>
      <c r="BS114" s="69">
        <f ca="1" t="shared" si="199"/>
        <v>1.1</v>
      </c>
      <c r="BT114" s="66">
        <f ca="1" t="shared" si="171"/>
        <v>39.3855</v>
      </c>
      <c r="BU114" s="66">
        <f ca="1" t="shared" si="172"/>
        <v>32.40630495901192</v>
      </c>
      <c r="BV114" s="66">
        <f ca="1" t="shared" si="173"/>
        <v>6.979195040988081</v>
      </c>
      <c r="BW114" s="63">
        <f ca="1" t="shared" si="174"/>
        <v>0</v>
      </c>
      <c r="BX114" s="67">
        <f ca="1" t="shared" si="200"/>
        <v>40.03065125893127</v>
      </c>
      <c r="BY114" s="65">
        <f ca="1" t="shared" si="175"/>
        <v>0.06805303168454602</v>
      </c>
      <c r="BZ114" s="68">
        <f ca="1" t="shared" si="201"/>
        <v>-0.030785506524418804</v>
      </c>
      <c r="CA114" s="81">
        <f t="shared" si="176"/>
        <v>35.805</v>
      </c>
      <c r="CB114" s="63">
        <f t="shared" si="177"/>
        <v>35.805</v>
      </c>
      <c r="CC114" s="67">
        <f t="shared" si="178"/>
        <v>35.90132553133049</v>
      </c>
      <c r="CD114" s="69">
        <f ca="1" t="shared" si="202"/>
        <v>1.1</v>
      </c>
      <c r="CE114" s="190">
        <f ca="1" t="shared" si="179"/>
        <v>39.3855</v>
      </c>
      <c r="CF114" s="70">
        <f ca="1" t="shared" si="180"/>
        <v>39.3855</v>
      </c>
      <c r="CG114" s="67">
        <f ca="1" t="shared" si="181"/>
        <v>39.30481757441425</v>
      </c>
      <c r="CH114" s="65">
        <f ca="1" t="shared" si="182"/>
        <v>0.09480129194989151</v>
      </c>
      <c r="CI114" s="65">
        <f ca="1" t="shared" si="203"/>
        <v>-0.0483592532600462</v>
      </c>
      <c r="CJ114" s="68">
        <f ca="1" t="shared" si="183"/>
        <v>-0.018131947937146786</v>
      </c>
      <c r="CL114" s="97">
        <f ca="1" t="shared" si="204"/>
        <v>14249946.217026554</v>
      </c>
      <c r="CM114" s="97">
        <f ca="1" t="shared" si="205"/>
        <v>13521238.183935884</v>
      </c>
      <c r="CN114" s="97">
        <f ca="1" t="shared" si="206"/>
        <v>13811254.404789666</v>
      </c>
      <c r="CO114" s="97">
        <f ca="1" t="shared" si="184"/>
        <v>13560829.458975332</v>
      </c>
      <c r="CQ114" s="97">
        <f t="shared" si="207"/>
        <v>12014032.50463517</v>
      </c>
      <c r="CR114" s="97">
        <f t="shared" si="208"/>
        <v>11293244.682788845</v>
      </c>
      <c r="CS114" s="97">
        <f t="shared" si="209"/>
        <v>11755676.403757857</v>
      </c>
      <c r="CT114" s="97">
        <f t="shared" si="185"/>
        <v>11260515.375287766</v>
      </c>
      <c r="CV114" s="97">
        <f ca="1" t="shared" si="210"/>
        <v>14249946.217026554</v>
      </c>
      <c r="CW114" s="97">
        <f ca="1" t="shared" si="186"/>
        <v>13521238.183935884</v>
      </c>
      <c r="CX114" s="97">
        <f ca="1" t="shared" si="187"/>
        <v>13521238.183935884</v>
      </c>
      <c r="CY114" s="97">
        <f ca="1" t="shared" si="188"/>
        <v>13560829.45897533</v>
      </c>
    </row>
    <row r="115" spans="2:103" ht="12.75">
      <c r="B115" s="14">
        <v>10331</v>
      </c>
      <c r="C115" s="15" t="s">
        <v>114</v>
      </c>
      <c r="D115" s="16">
        <f>RHWM!D102</f>
        <v>0</v>
      </c>
      <c r="E115" s="16">
        <f>RHWM!E102</f>
        <v>1</v>
      </c>
      <c r="F115" s="18">
        <f>RHWM!M102</f>
        <v>35.36</v>
      </c>
      <c r="G115" s="18">
        <f>RHWM!N102</f>
        <v>35.408</v>
      </c>
      <c r="H115" s="18">
        <f>RHWM!O102</f>
        <v>36.602</v>
      </c>
      <c r="I115" s="18">
        <v>0</v>
      </c>
      <c r="J115" s="18">
        <v>0</v>
      </c>
      <c r="K115" s="18">
        <v>0</v>
      </c>
      <c r="L115" s="18">
        <v>0</v>
      </c>
      <c r="M115" s="18">
        <v>0</v>
      </c>
      <c r="N115" s="18">
        <v>0</v>
      </c>
      <c r="O115" s="81">
        <f t="shared" si="130"/>
        <v>36.602</v>
      </c>
      <c r="P115" s="63">
        <f t="shared" si="131"/>
        <v>35.408</v>
      </c>
      <c r="Q115" s="63">
        <f t="shared" si="132"/>
        <v>35.408</v>
      </c>
      <c r="R115" s="63">
        <f t="shared" si="133"/>
        <v>0</v>
      </c>
      <c r="S115" s="63">
        <f t="shared" si="134"/>
        <v>1.1939999999999955</v>
      </c>
      <c r="T115" s="67">
        <f t="shared" si="189"/>
        <v>33.949064274110405</v>
      </c>
      <c r="U115" s="138">
        <f ca="1" t="shared" si="190"/>
        <v>1.24</v>
      </c>
      <c r="V115" s="66">
        <f ca="1" t="shared" si="191"/>
        <v>43.90592</v>
      </c>
      <c r="W115" s="66">
        <f ca="1" t="shared" si="135"/>
        <v>36.602</v>
      </c>
      <c r="X115" s="66">
        <f ca="1" t="shared" si="136"/>
        <v>7.303920000000005</v>
      </c>
      <c r="Y115" s="63">
        <f ca="1" t="shared" si="137"/>
        <v>0</v>
      </c>
      <c r="Z115" s="67">
        <f ca="1" t="shared" si="192"/>
        <v>39.60202260180156</v>
      </c>
      <c r="AA115" s="68">
        <f ca="1" t="shared" si="193"/>
        <v>0.16651293484993346</v>
      </c>
      <c r="AB115" s="169">
        <f t="shared" si="138"/>
        <v>35.408</v>
      </c>
      <c r="AC115" s="169">
        <f t="shared" si="139"/>
        <v>35.408</v>
      </c>
      <c r="AD115" s="169">
        <v>0.154</v>
      </c>
      <c r="AE115" s="171">
        <f t="shared" si="140"/>
        <v>0.077</v>
      </c>
      <c r="AF115" s="182">
        <v>0</v>
      </c>
      <c r="AG115" s="182">
        <f t="shared" si="141"/>
        <v>0</v>
      </c>
      <c r="AH115" s="182">
        <f t="shared" si="142"/>
        <v>0</v>
      </c>
      <c r="AI115" s="182">
        <v>0</v>
      </c>
      <c r="AJ115" s="171">
        <f t="shared" si="143"/>
        <v>0</v>
      </c>
      <c r="AK115" s="171">
        <f t="shared" si="144"/>
        <v>35.485</v>
      </c>
      <c r="AL115" s="171">
        <f t="shared" si="145"/>
        <v>2.2645823450464024</v>
      </c>
      <c r="AM115" s="171">
        <f t="shared" si="146"/>
        <v>37.7495823450464</v>
      </c>
      <c r="AN115" s="81">
        <f t="shared" si="147"/>
        <v>37.7495823450464</v>
      </c>
      <c r="AO115" s="63">
        <f t="shared" si="148"/>
        <v>35.408</v>
      </c>
      <c r="AP115" s="63">
        <f t="shared" si="149"/>
        <v>35.408</v>
      </c>
      <c r="AQ115" s="63">
        <f t="shared" si="150"/>
        <v>0</v>
      </c>
      <c r="AR115" s="63">
        <f t="shared" si="151"/>
        <v>2.3415823450463975</v>
      </c>
      <c r="AS115" s="67">
        <f t="shared" si="194"/>
        <v>35.5763854636149</v>
      </c>
      <c r="AT115" s="65">
        <f ca="1" t="shared" si="195"/>
        <v>1.24</v>
      </c>
      <c r="AU115" s="66">
        <f ca="1" t="shared" si="152"/>
        <v>43.90592</v>
      </c>
      <c r="AV115" s="66">
        <f ca="1" t="shared" si="153"/>
        <v>37.7495823450464</v>
      </c>
      <c r="AW115" s="66">
        <f ca="1" t="shared" si="154"/>
        <v>6.156337654953603</v>
      </c>
      <c r="AX115" s="63">
        <f ca="1" t="shared" si="155"/>
        <v>0</v>
      </c>
      <c r="AY115" s="67">
        <f ca="1" t="shared" si="196"/>
        <v>40.129660373520345</v>
      </c>
      <c r="AZ115" s="65">
        <f ca="1" t="shared" si="156"/>
        <v>0.12798587744565082</v>
      </c>
      <c r="BA115" s="68">
        <f ca="1" t="shared" si="197"/>
        <v>0.013323505645764344</v>
      </c>
      <c r="BB115" s="169">
        <f t="shared" si="157"/>
        <v>35.408</v>
      </c>
      <c r="BC115" s="169">
        <f t="shared" si="158"/>
        <v>35.408</v>
      </c>
      <c r="BD115" s="169">
        <v>0.154</v>
      </c>
      <c r="BE115" s="171">
        <f t="shared" si="159"/>
        <v>0.077</v>
      </c>
      <c r="BF115" s="182">
        <v>0</v>
      </c>
      <c r="BG115" s="182">
        <f t="shared" si="160"/>
        <v>0</v>
      </c>
      <c r="BH115" s="182">
        <f t="shared" si="161"/>
        <v>0</v>
      </c>
      <c r="BI115" s="169">
        <f t="shared" si="162"/>
        <v>0</v>
      </c>
      <c r="BJ115" s="171">
        <f t="shared" si="163"/>
        <v>35.485</v>
      </c>
      <c r="BK115" s="171">
        <f t="shared" si="164"/>
        <v>0.6808287210138939</v>
      </c>
      <c r="BL115" s="171">
        <f t="shared" si="165"/>
        <v>36.165828721013895</v>
      </c>
      <c r="BM115" s="81">
        <f t="shared" si="166"/>
        <v>36.165828721013895</v>
      </c>
      <c r="BN115" s="63">
        <f t="shared" si="198"/>
        <v>35.408</v>
      </c>
      <c r="BO115" s="63">
        <f t="shared" si="167"/>
        <v>35.408</v>
      </c>
      <c r="BP115" s="63">
        <f t="shared" si="168"/>
        <v>0</v>
      </c>
      <c r="BQ115" s="63">
        <f t="shared" si="169"/>
        <v>0.7578287210138939</v>
      </c>
      <c r="BR115" s="67">
        <f t="shared" si="170"/>
        <v>34.790963136607154</v>
      </c>
      <c r="BS115" s="69">
        <f ca="1" t="shared" si="199"/>
        <v>1.24</v>
      </c>
      <c r="BT115" s="66">
        <f ca="1" t="shared" si="171"/>
        <v>43.90592</v>
      </c>
      <c r="BU115" s="66">
        <f ca="1" t="shared" si="172"/>
        <v>36.165828721013895</v>
      </c>
      <c r="BV115" s="66">
        <f ca="1" t="shared" si="173"/>
        <v>7.740091278986107</v>
      </c>
      <c r="BW115" s="63">
        <f ca="1" t="shared" si="174"/>
        <v>0</v>
      </c>
      <c r="BX115" s="67">
        <f ca="1" t="shared" si="200"/>
        <v>40.00500140304804</v>
      </c>
      <c r="BY115" s="65">
        <f ca="1" t="shared" si="175"/>
        <v>0.14986760343391192</v>
      </c>
      <c r="BZ115" s="68">
        <f ca="1" t="shared" si="201"/>
        <v>0.01017571262201522</v>
      </c>
      <c r="CA115" s="81">
        <f t="shared" si="176"/>
        <v>35.408</v>
      </c>
      <c r="CB115" s="63">
        <f t="shared" si="177"/>
        <v>35.408</v>
      </c>
      <c r="CC115" s="67">
        <f t="shared" si="178"/>
        <v>35.90132553133049</v>
      </c>
      <c r="CD115" s="69">
        <f ca="1" t="shared" si="202"/>
        <v>1.24</v>
      </c>
      <c r="CE115" s="190">
        <f ca="1" t="shared" si="179"/>
        <v>43.90592</v>
      </c>
      <c r="CF115" s="70">
        <f ca="1" t="shared" si="180"/>
        <v>43.90592</v>
      </c>
      <c r="CG115" s="67">
        <f ca="1" t="shared" si="181"/>
        <v>39.30481757441425</v>
      </c>
      <c r="CH115" s="65">
        <f ca="1" t="shared" si="182"/>
        <v>0.09480129194989151</v>
      </c>
      <c r="CI115" s="65">
        <f ca="1" t="shared" si="203"/>
        <v>-0.007504794145887561</v>
      </c>
      <c r="CJ115" s="68">
        <f ca="1" t="shared" si="183"/>
        <v>-0.017502407301014156</v>
      </c>
      <c r="CL115" s="97">
        <f ca="1" t="shared" si="204"/>
        <v>15231565.949049726</v>
      </c>
      <c r="CM115" s="97">
        <f ca="1" t="shared" si="205"/>
        <v>15434503.803965721</v>
      </c>
      <c r="CN115" s="97">
        <f ca="1" t="shared" si="206"/>
        <v>15386557.986930529</v>
      </c>
      <c r="CO115" s="97">
        <f ca="1" t="shared" si="184"/>
        <v>15117256.182082599</v>
      </c>
      <c r="CQ115" s="97">
        <f t="shared" si="207"/>
        <v>10530119.778083064</v>
      </c>
      <c r="CR115" s="97">
        <f t="shared" si="208"/>
        <v>11034872.630902125</v>
      </c>
      <c r="CS115" s="97">
        <f t="shared" si="209"/>
        <v>10791254.983211039</v>
      </c>
      <c r="CT115" s="97">
        <f t="shared" si="185"/>
        <v>11135660.617460947</v>
      </c>
      <c r="CV115" s="97">
        <f ca="1" t="shared" si="210"/>
        <v>15231565.949049726</v>
      </c>
      <c r="CW115" s="97">
        <f ca="1" t="shared" si="186"/>
        <v>15434503.803965721</v>
      </c>
      <c r="CX115" s="97">
        <f ca="1" t="shared" si="187"/>
        <v>15434503.803965721</v>
      </c>
      <c r="CY115" s="97">
        <f ca="1" t="shared" si="188"/>
        <v>15117256.182082597</v>
      </c>
    </row>
    <row r="116" spans="2:103" ht="12.75">
      <c r="B116" s="14">
        <v>10333</v>
      </c>
      <c r="C116" s="15" t="s">
        <v>115</v>
      </c>
      <c r="D116" s="16">
        <f>RHWM!D103</f>
        <v>0</v>
      </c>
      <c r="E116" s="16">
        <f>RHWM!E103</f>
        <v>1</v>
      </c>
      <c r="F116" s="18">
        <f>RHWM!M103</f>
        <v>21.8</v>
      </c>
      <c r="G116" s="18">
        <f>RHWM!N103</f>
        <v>21.994</v>
      </c>
      <c r="H116" s="18">
        <f>RHWM!O103</f>
        <v>18.515</v>
      </c>
      <c r="I116" s="18">
        <v>3.285</v>
      </c>
      <c r="J116" s="18">
        <v>3.479</v>
      </c>
      <c r="K116" s="18">
        <v>0</v>
      </c>
      <c r="L116" s="18">
        <v>0</v>
      </c>
      <c r="M116" s="18">
        <v>3.285</v>
      </c>
      <c r="N116" s="18">
        <v>3.479</v>
      </c>
      <c r="O116" s="81">
        <f t="shared" si="130"/>
        <v>18.515</v>
      </c>
      <c r="P116" s="63">
        <f t="shared" si="131"/>
        <v>21.994</v>
      </c>
      <c r="Q116" s="63">
        <f t="shared" si="132"/>
        <v>18.515</v>
      </c>
      <c r="R116" s="63">
        <f t="shared" si="133"/>
        <v>3.478999999999999</v>
      </c>
      <c r="S116" s="63">
        <f t="shared" si="134"/>
        <v>0</v>
      </c>
      <c r="T116" s="67">
        <f t="shared" si="189"/>
        <v>38.56330840388989</v>
      </c>
      <c r="U116" s="138">
        <f ca="1" t="shared" si="190"/>
        <v>1.3</v>
      </c>
      <c r="V116" s="66">
        <f ca="1" t="shared" si="191"/>
        <v>28.592200000000002</v>
      </c>
      <c r="W116" s="66">
        <f ca="1" t="shared" si="135"/>
        <v>18.515</v>
      </c>
      <c r="X116" s="66">
        <f ca="1" t="shared" si="136"/>
        <v>10.077200000000001</v>
      </c>
      <c r="Y116" s="63">
        <f ca="1" t="shared" si="137"/>
        <v>0</v>
      </c>
      <c r="Z116" s="67">
        <f ca="1" t="shared" si="192"/>
        <v>44.85185807084029</v>
      </c>
      <c r="AA116" s="68">
        <f ca="1" t="shared" si="193"/>
        <v>0.16307080297903243</v>
      </c>
      <c r="AB116" s="169">
        <f t="shared" si="138"/>
        <v>18.515</v>
      </c>
      <c r="AC116" s="169">
        <f t="shared" si="139"/>
        <v>18.515</v>
      </c>
      <c r="AD116" s="169">
        <v>0.003</v>
      </c>
      <c r="AE116" s="171">
        <f t="shared" si="140"/>
        <v>0.0015</v>
      </c>
      <c r="AF116" s="182">
        <v>0</v>
      </c>
      <c r="AG116" s="182">
        <f t="shared" si="141"/>
        <v>0</v>
      </c>
      <c r="AH116" s="182">
        <f t="shared" si="142"/>
        <v>0</v>
      </c>
      <c r="AI116" s="182">
        <v>0</v>
      </c>
      <c r="AJ116" s="171">
        <f t="shared" si="143"/>
        <v>1.7394999999999996</v>
      </c>
      <c r="AK116" s="171">
        <f t="shared" si="144"/>
        <v>20.256</v>
      </c>
      <c r="AL116" s="171">
        <f t="shared" si="145"/>
        <v>1.292697759088627</v>
      </c>
      <c r="AM116" s="171">
        <f t="shared" si="146"/>
        <v>21.548697759088626</v>
      </c>
      <c r="AN116" s="81">
        <f t="shared" si="147"/>
        <v>21.548697759088626</v>
      </c>
      <c r="AO116" s="63">
        <f t="shared" si="148"/>
        <v>21.994</v>
      </c>
      <c r="AP116" s="63">
        <f t="shared" si="149"/>
        <v>21.548697759088626</v>
      </c>
      <c r="AQ116" s="63">
        <f t="shared" si="150"/>
        <v>0.44530224091137427</v>
      </c>
      <c r="AR116" s="63">
        <f t="shared" si="151"/>
        <v>0</v>
      </c>
      <c r="AS116" s="67">
        <f t="shared" si="194"/>
        <v>36.13404815688813</v>
      </c>
      <c r="AT116" s="65">
        <f ca="1" t="shared" si="195"/>
        <v>1.3</v>
      </c>
      <c r="AU116" s="66">
        <f ca="1" t="shared" si="152"/>
        <v>28.592200000000002</v>
      </c>
      <c r="AV116" s="66">
        <f ca="1" t="shared" si="153"/>
        <v>21.548697759088626</v>
      </c>
      <c r="AW116" s="66">
        <f ca="1" t="shared" si="154"/>
        <v>7.043502240911376</v>
      </c>
      <c r="AX116" s="63">
        <f ca="1" t="shared" si="155"/>
        <v>0</v>
      </c>
      <c r="AY116" s="67">
        <f ca="1" t="shared" si="196"/>
        <v>42.9674608066501</v>
      </c>
      <c r="AZ116" s="65">
        <f ca="1" t="shared" si="156"/>
        <v>0.1891128450400137</v>
      </c>
      <c r="BA116" s="68">
        <f ca="1" t="shared" si="197"/>
        <v>-0.042013806010308796</v>
      </c>
      <c r="BB116" s="169">
        <f t="shared" si="157"/>
        <v>18.515</v>
      </c>
      <c r="BC116" s="169">
        <f t="shared" si="158"/>
        <v>18.515</v>
      </c>
      <c r="BD116" s="169">
        <v>0.003</v>
      </c>
      <c r="BE116" s="171">
        <f t="shared" si="159"/>
        <v>0.0015</v>
      </c>
      <c r="BF116" s="182">
        <v>0</v>
      </c>
      <c r="BG116" s="182">
        <f t="shared" si="160"/>
        <v>0</v>
      </c>
      <c r="BH116" s="182">
        <f t="shared" si="161"/>
        <v>0</v>
      </c>
      <c r="BI116" s="169">
        <f t="shared" si="162"/>
        <v>0.8697499999999998</v>
      </c>
      <c r="BJ116" s="171">
        <f t="shared" si="163"/>
        <v>19.38625</v>
      </c>
      <c r="BK116" s="171">
        <f t="shared" si="164"/>
        <v>0.37195197386939843</v>
      </c>
      <c r="BL116" s="171">
        <f t="shared" si="165"/>
        <v>19.758201973869397</v>
      </c>
      <c r="BM116" s="81">
        <f t="shared" si="166"/>
        <v>19.758201973869397</v>
      </c>
      <c r="BN116" s="63">
        <f t="shared" si="198"/>
        <v>21.994</v>
      </c>
      <c r="BO116" s="63">
        <f t="shared" si="167"/>
        <v>19.758201973869397</v>
      </c>
      <c r="BP116" s="63">
        <f t="shared" si="168"/>
        <v>2.2357980261306025</v>
      </c>
      <c r="BQ116" s="63">
        <f t="shared" si="169"/>
        <v>0</v>
      </c>
      <c r="BR116" s="67">
        <f t="shared" si="170"/>
        <v>37.67074874638049</v>
      </c>
      <c r="BS116" s="69">
        <f ca="1" t="shared" si="199"/>
        <v>1.3</v>
      </c>
      <c r="BT116" s="66">
        <f ca="1" t="shared" si="171"/>
        <v>28.592200000000002</v>
      </c>
      <c r="BU116" s="66">
        <f ca="1" t="shared" si="172"/>
        <v>19.758201973869397</v>
      </c>
      <c r="BV116" s="66">
        <f ca="1" t="shared" si="173"/>
        <v>8.833998026130605</v>
      </c>
      <c r="BW116" s="63">
        <f ca="1" t="shared" si="174"/>
        <v>0</v>
      </c>
      <c r="BX116" s="67">
        <f ca="1" t="shared" si="200"/>
        <v>43.728188560323716</v>
      </c>
      <c r="BY116" s="65">
        <f ca="1" t="shared" si="175"/>
        <v>0.1607995597519214</v>
      </c>
      <c r="BZ116" s="68">
        <f ca="1" t="shared" si="201"/>
        <v>-0.025052908816883712</v>
      </c>
      <c r="CA116" s="81">
        <f t="shared" si="176"/>
        <v>21.994</v>
      </c>
      <c r="CB116" s="63">
        <f t="shared" si="177"/>
        <v>21.994</v>
      </c>
      <c r="CC116" s="67">
        <f t="shared" si="178"/>
        <v>35.90132553133049</v>
      </c>
      <c r="CD116" s="69">
        <f ca="1" t="shared" si="202"/>
        <v>1.3</v>
      </c>
      <c r="CE116" s="190">
        <f ca="1" t="shared" si="179"/>
        <v>28.592200000000002</v>
      </c>
      <c r="CF116" s="70">
        <f ca="1" t="shared" si="180"/>
        <v>28.592200000000002</v>
      </c>
      <c r="CG116" s="67">
        <f ca="1" t="shared" si="181"/>
        <v>39.30481757441425</v>
      </c>
      <c r="CH116" s="65">
        <f ca="1" t="shared" si="182"/>
        <v>0.09480129194989151</v>
      </c>
      <c r="CI116" s="65">
        <f ca="1" t="shared" si="203"/>
        <v>-0.12367470903133782</v>
      </c>
      <c r="CJ116" s="68">
        <f ca="1" t="shared" si="183"/>
        <v>-0.10115605360161117</v>
      </c>
      <c r="CL116" s="97">
        <f ca="1" t="shared" si="204"/>
        <v>11233940.475877777</v>
      </c>
      <c r="CM116" s="97">
        <f ca="1" t="shared" si="205"/>
        <v>10761959.879992893</v>
      </c>
      <c r="CN116" s="97">
        <f ca="1" t="shared" si="206"/>
        <v>10952497.589481315</v>
      </c>
      <c r="CO116" s="97">
        <f ca="1" t="shared" si="184"/>
        <v>9844586.156248225</v>
      </c>
      <c r="CQ116" s="97">
        <f t="shared" si="207"/>
        <v>7429893.908107949</v>
      </c>
      <c r="CR116" s="97">
        <f t="shared" si="208"/>
        <v>6961854.555224353</v>
      </c>
      <c r="CS116" s="97">
        <f t="shared" si="209"/>
        <v>7257926.723848338</v>
      </c>
      <c r="CT116" s="97">
        <f t="shared" si="185"/>
        <v>6917016.4827280855</v>
      </c>
      <c r="CV116" s="97">
        <f ca="1" t="shared" si="210"/>
        <v>11233940.475877779</v>
      </c>
      <c r="CW116" s="97">
        <f ca="1" t="shared" si="186"/>
        <v>10761959.879992895</v>
      </c>
      <c r="CX116" s="97">
        <f ca="1" t="shared" si="187"/>
        <v>10761959.879992895</v>
      </c>
      <c r="CY116" s="97">
        <f ca="1" t="shared" si="188"/>
        <v>9844586.156248225</v>
      </c>
    </row>
    <row r="117" spans="2:103" ht="12.75">
      <c r="B117" s="14">
        <v>10338</v>
      </c>
      <c r="C117" s="15" t="s">
        <v>116</v>
      </c>
      <c r="D117" s="16">
        <f>RHWM!D104</f>
        <v>1</v>
      </c>
      <c r="E117" s="16">
        <f>RHWM!E104</f>
        <v>0</v>
      </c>
      <c r="F117" s="18">
        <f>RHWM!M104</f>
        <v>2.755</v>
      </c>
      <c r="G117" s="18">
        <f>RHWM!N104</f>
        <v>2.787</v>
      </c>
      <c r="H117" s="18">
        <f>RHWM!O104</f>
        <v>2.373</v>
      </c>
      <c r="I117" s="18">
        <v>0.382</v>
      </c>
      <c r="J117" s="18">
        <v>0.414</v>
      </c>
      <c r="K117" s="18">
        <v>0.382</v>
      </c>
      <c r="L117" s="18">
        <v>0.414</v>
      </c>
      <c r="M117" s="18">
        <v>0</v>
      </c>
      <c r="N117" s="18">
        <v>0</v>
      </c>
      <c r="O117" s="81">
        <f t="shared" si="130"/>
        <v>2.373</v>
      </c>
      <c r="P117" s="63">
        <f t="shared" si="131"/>
        <v>2.787</v>
      </c>
      <c r="Q117" s="63">
        <f t="shared" si="132"/>
        <v>2.373</v>
      </c>
      <c r="R117" s="63">
        <f t="shared" si="133"/>
        <v>0.4139999999999997</v>
      </c>
      <c r="S117" s="63">
        <f t="shared" si="134"/>
        <v>0</v>
      </c>
      <c r="T117" s="67">
        <f t="shared" si="189"/>
        <v>38.28231414512522</v>
      </c>
      <c r="U117" s="138">
        <f ca="1" t="shared" si="190"/>
        <v>1.34</v>
      </c>
      <c r="V117" s="66">
        <f ca="1" t="shared" si="191"/>
        <v>3.7345800000000002</v>
      </c>
      <c r="W117" s="66">
        <f ca="1" t="shared" si="135"/>
        <v>2.373</v>
      </c>
      <c r="X117" s="66">
        <f ca="1" t="shared" si="136"/>
        <v>1.36158</v>
      </c>
      <c r="Y117" s="63">
        <f ca="1" t="shared" si="137"/>
        <v>0</v>
      </c>
      <c r="Z117" s="67">
        <f ca="1" t="shared" si="192"/>
        <v>45.194379209468266</v>
      </c>
      <c r="AA117" s="68">
        <f ca="1" t="shared" si="193"/>
        <v>0.1805550479038429</v>
      </c>
      <c r="AB117" s="169">
        <f t="shared" si="138"/>
        <v>2.373</v>
      </c>
      <c r="AC117" s="169">
        <f t="shared" si="139"/>
        <v>4.746</v>
      </c>
      <c r="AD117" s="169">
        <v>0</v>
      </c>
      <c r="AE117" s="171">
        <f t="shared" si="140"/>
        <v>0</v>
      </c>
      <c r="AF117" s="182">
        <v>0</v>
      </c>
      <c r="AG117" s="182">
        <f t="shared" si="141"/>
        <v>0</v>
      </c>
      <c r="AH117" s="182">
        <f t="shared" si="142"/>
        <v>0</v>
      </c>
      <c r="AI117" s="182">
        <v>0</v>
      </c>
      <c r="AJ117" s="171">
        <f t="shared" si="143"/>
        <v>0.20699999999999985</v>
      </c>
      <c r="AK117" s="171">
        <f t="shared" si="144"/>
        <v>4.953</v>
      </c>
      <c r="AL117" s="171">
        <f t="shared" si="145"/>
        <v>0.31609063984824104</v>
      </c>
      <c r="AM117" s="171">
        <f t="shared" si="146"/>
        <v>5.269090639848241</v>
      </c>
      <c r="AN117" s="81">
        <f t="shared" si="147"/>
        <v>5.269090639848241</v>
      </c>
      <c r="AO117" s="63">
        <f t="shared" si="148"/>
        <v>2.787</v>
      </c>
      <c r="AP117" s="63">
        <f t="shared" si="149"/>
        <v>2.787</v>
      </c>
      <c r="AQ117" s="63">
        <f t="shared" si="150"/>
        <v>0</v>
      </c>
      <c r="AR117" s="63">
        <f t="shared" si="151"/>
        <v>2.4820906398482414</v>
      </c>
      <c r="AS117" s="67">
        <f t="shared" si="194"/>
        <v>35.5763854636149</v>
      </c>
      <c r="AT117" s="65">
        <f ca="1" t="shared" si="195"/>
        <v>1.34</v>
      </c>
      <c r="AU117" s="66">
        <f ca="1" t="shared" si="152"/>
        <v>3.7345800000000002</v>
      </c>
      <c r="AV117" s="66">
        <f ca="1" t="shared" si="153"/>
        <v>3.7345800000000002</v>
      </c>
      <c r="AW117" s="66">
        <f ca="1" t="shared" si="154"/>
        <v>0</v>
      </c>
      <c r="AX117" s="63">
        <f ca="1" t="shared" si="155"/>
        <v>1.534510639848241</v>
      </c>
      <c r="AY117" s="67">
        <f ca="1" t="shared" si="196"/>
        <v>36.38031310262951</v>
      </c>
      <c r="AZ117" s="65">
        <f ca="1" t="shared" si="156"/>
        <v>0.0225972264618286</v>
      </c>
      <c r="BA117" s="68">
        <f ca="1" t="shared" si="197"/>
        <v>-0.19502571472410457</v>
      </c>
      <c r="BB117" s="169">
        <f t="shared" si="157"/>
        <v>2.373</v>
      </c>
      <c r="BC117" s="169">
        <f t="shared" si="158"/>
        <v>4.746</v>
      </c>
      <c r="BD117" s="169">
        <v>0</v>
      </c>
      <c r="BE117" s="171">
        <f t="shared" si="159"/>
        <v>0</v>
      </c>
      <c r="BF117" s="182">
        <v>0</v>
      </c>
      <c r="BG117" s="182">
        <f t="shared" si="160"/>
        <v>0</v>
      </c>
      <c r="BH117" s="182">
        <f t="shared" si="161"/>
        <v>0</v>
      </c>
      <c r="BI117" s="169">
        <f t="shared" si="162"/>
        <v>0.10349999999999993</v>
      </c>
      <c r="BJ117" s="171">
        <f t="shared" si="163"/>
        <v>4.849500000000001</v>
      </c>
      <c r="BK117" s="171">
        <f t="shared" si="164"/>
        <v>0.09304435346081104</v>
      </c>
      <c r="BL117" s="171">
        <f t="shared" si="165"/>
        <v>4.942544353460812</v>
      </c>
      <c r="BM117" s="81">
        <f t="shared" si="166"/>
        <v>4.942544353460812</v>
      </c>
      <c r="BN117" s="63">
        <f t="shared" si="198"/>
        <v>2.787</v>
      </c>
      <c r="BO117" s="63">
        <f t="shared" si="167"/>
        <v>2.787</v>
      </c>
      <c r="BP117" s="63">
        <f t="shared" si="168"/>
        <v>0</v>
      </c>
      <c r="BQ117" s="63">
        <f t="shared" si="169"/>
        <v>2.1555443534608116</v>
      </c>
      <c r="BR117" s="67">
        <f t="shared" si="170"/>
        <v>34.790963136607154</v>
      </c>
      <c r="BS117" s="69">
        <f ca="1" t="shared" si="199"/>
        <v>1.34</v>
      </c>
      <c r="BT117" s="66">
        <f ca="1" t="shared" si="171"/>
        <v>3.7345800000000002</v>
      </c>
      <c r="BU117" s="66">
        <f ca="1" t="shared" si="172"/>
        <v>3.7345800000000002</v>
      </c>
      <c r="BV117" s="66">
        <f ca="1" t="shared" si="173"/>
        <v>0</v>
      </c>
      <c r="BW117" s="63">
        <f ca="1" t="shared" si="174"/>
        <v>1.2079643534608113</v>
      </c>
      <c r="BX117" s="67">
        <f ca="1" t="shared" si="200"/>
        <v>35.05800570624853</v>
      </c>
      <c r="BY117" s="65">
        <f ca="1" t="shared" si="175"/>
        <v>0.007675630266193778</v>
      </c>
      <c r="BZ117" s="68">
        <f ca="1" t="shared" si="201"/>
        <v>-0.22428394151050002</v>
      </c>
      <c r="CA117" s="81">
        <f t="shared" si="176"/>
        <v>2.787</v>
      </c>
      <c r="CB117" s="63">
        <f t="shared" si="177"/>
        <v>2.787</v>
      </c>
      <c r="CC117" s="67">
        <f t="shared" si="178"/>
        <v>35.90132553133049</v>
      </c>
      <c r="CD117" s="69">
        <f ca="1" t="shared" si="202"/>
        <v>1.34</v>
      </c>
      <c r="CE117" s="190">
        <f ca="1" t="shared" si="179"/>
        <v>3.7345800000000002</v>
      </c>
      <c r="CF117" s="70">
        <f ca="1" t="shared" si="180"/>
        <v>3.7345800000000002</v>
      </c>
      <c r="CG117" s="67">
        <f ca="1" t="shared" si="181"/>
        <v>39.30481757441425</v>
      </c>
      <c r="CH117" s="65">
        <f ca="1" t="shared" si="182"/>
        <v>0.09480129194989151</v>
      </c>
      <c r="CI117" s="65">
        <f ca="1" t="shared" si="203"/>
        <v>-0.13031624149005117</v>
      </c>
      <c r="CJ117" s="68">
        <f ca="1" t="shared" si="183"/>
        <v>0.12113672134546993</v>
      </c>
      <c r="CL117" s="97">
        <f ca="1" t="shared" si="204"/>
        <v>1478530.536442921</v>
      </c>
      <c r="CM117" s="97">
        <f ca="1" t="shared" si="205"/>
        <v>1190179.0618317267</v>
      </c>
      <c r="CN117" s="97">
        <f ca="1" t="shared" si="206"/>
        <v>1146919.8800858688</v>
      </c>
      <c r="CO117" s="97">
        <f ca="1" t="shared" si="184"/>
        <v>1285853.9940054105</v>
      </c>
      <c r="CQ117" s="97">
        <f t="shared" si="207"/>
        <v>934629.0114167845</v>
      </c>
      <c r="CR117" s="97">
        <f t="shared" si="208"/>
        <v>868566.1438749497</v>
      </c>
      <c r="CS117" s="97">
        <f t="shared" si="209"/>
        <v>849390.7489327034</v>
      </c>
      <c r="CT117" s="97">
        <f t="shared" si="185"/>
        <v>876499.2696809664</v>
      </c>
      <c r="CV117" s="97">
        <f ca="1" t="shared" si="210"/>
        <v>1478530.536442921</v>
      </c>
      <c r="CW117" s="97">
        <f ca="1" t="shared" si="186"/>
        <v>1190179.0618317267</v>
      </c>
      <c r="CX117" s="97">
        <f ca="1" t="shared" si="187"/>
        <v>1190179.0618317267</v>
      </c>
      <c r="CY117" s="97">
        <f ca="1" t="shared" si="188"/>
        <v>1285853.9940054105</v>
      </c>
    </row>
    <row r="118" spans="2:103" ht="12.75">
      <c r="B118" s="14">
        <v>10342</v>
      </c>
      <c r="C118" s="15" t="s">
        <v>117</v>
      </c>
      <c r="D118" s="16">
        <f>RHWM!D105</f>
        <v>1</v>
      </c>
      <c r="E118" s="16">
        <f>RHWM!E105</f>
        <v>0</v>
      </c>
      <c r="F118" s="18">
        <f>RHWM!M105</f>
        <v>38.217</v>
      </c>
      <c r="G118" s="18">
        <f>RHWM!N105</f>
        <v>38.332</v>
      </c>
      <c r="H118" s="18">
        <f>RHWM!O105</f>
        <v>38.691</v>
      </c>
      <c r="I118" s="18">
        <v>0</v>
      </c>
      <c r="J118" s="18">
        <v>0</v>
      </c>
      <c r="K118" s="18">
        <v>0</v>
      </c>
      <c r="L118" s="18">
        <v>0</v>
      </c>
      <c r="M118" s="18">
        <v>0</v>
      </c>
      <c r="N118" s="18">
        <v>0</v>
      </c>
      <c r="O118" s="81">
        <f t="shared" si="130"/>
        <v>38.691</v>
      </c>
      <c r="P118" s="63">
        <f t="shared" si="131"/>
        <v>38.332</v>
      </c>
      <c r="Q118" s="63">
        <f t="shared" si="132"/>
        <v>38.332</v>
      </c>
      <c r="R118" s="63">
        <f t="shared" si="133"/>
        <v>0</v>
      </c>
      <c r="S118" s="63">
        <f t="shared" si="134"/>
        <v>0.35900000000000176</v>
      </c>
      <c r="T118" s="67">
        <f t="shared" si="189"/>
        <v>33.949064274110405</v>
      </c>
      <c r="U118" s="138">
        <f ca="1" t="shared" si="190"/>
        <v>1.14</v>
      </c>
      <c r="V118" s="66">
        <f ca="1" t="shared" si="191"/>
        <v>43.698479999999996</v>
      </c>
      <c r="W118" s="66">
        <f ca="1" t="shared" si="135"/>
        <v>38.691</v>
      </c>
      <c r="X118" s="66">
        <f ca="1" t="shared" si="136"/>
        <v>5.007479999999994</v>
      </c>
      <c r="Y118" s="63">
        <f ca="1" t="shared" si="137"/>
        <v>0</v>
      </c>
      <c r="Z118" s="67">
        <f ca="1" t="shared" si="192"/>
        <v>38.141758659345136</v>
      </c>
      <c r="AA118" s="68">
        <f ca="1" t="shared" si="193"/>
        <v>0.12349955661169965</v>
      </c>
      <c r="AB118" s="169">
        <f t="shared" si="138"/>
        <v>38.332</v>
      </c>
      <c r="AC118" s="169">
        <f t="shared" si="139"/>
        <v>38.332</v>
      </c>
      <c r="AD118" s="169">
        <v>0.4305</v>
      </c>
      <c r="AE118" s="171">
        <f t="shared" si="140"/>
        <v>0.21525</v>
      </c>
      <c r="AF118" s="182">
        <v>0</v>
      </c>
      <c r="AG118" s="182">
        <f t="shared" si="141"/>
        <v>0</v>
      </c>
      <c r="AH118" s="182">
        <f t="shared" si="142"/>
        <v>0</v>
      </c>
      <c r="AI118" s="182">
        <v>0</v>
      </c>
      <c r="AJ118" s="171">
        <f t="shared" si="143"/>
        <v>0</v>
      </c>
      <c r="AK118" s="171">
        <f t="shared" si="144"/>
        <v>38.54725</v>
      </c>
      <c r="AL118" s="171">
        <f t="shared" si="145"/>
        <v>2.460009068623078</v>
      </c>
      <c r="AM118" s="171">
        <f t="shared" si="146"/>
        <v>41.00725906862308</v>
      </c>
      <c r="AN118" s="81">
        <f t="shared" si="147"/>
        <v>41.00725906862308</v>
      </c>
      <c r="AO118" s="63">
        <f t="shared" si="148"/>
        <v>38.332</v>
      </c>
      <c r="AP118" s="63">
        <f t="shared" si="149"/>
        <v>38.332</v>
      </c>
      <c r="AQ118" s="63">
        <f t="shared" si="150"/>
        <v>0</v>
      </c>
      <c r="AR118" s="63">
        <f t="shared" si="151"/>
        <v>2.6752590686230775</v>
      </c>
      <c r="AS118" s="67">
        <f t="shared" si="194"/>
        <v>35.5763854636149</v>
      </c>
      <c r="AT118" s="65">
        <f ca="1" t="shared" si="195"/>
        <v>1.14</v>
      </c>
      <c r="AU118" s="66">
        <f ca="1" t="shared" si="152"/>
        <v>43.698479999999996</v>
      </c>
      <c r="AV118" s="66">
        <f ca="1" t="shared" si="153"/>
        <v>41.00725906862308</v>
      </c>
      <c r="AW118" s="66">
        <f ca="1" t="shared" si="154"/>
        <v>2.691220931376918</v>
      </c>
      <c r="AX118" s="63">
        <f ca="1" t="shared" si="155"/>
        <v>0</v>
      </c>
      <c r="AY118" s="67">
        <f ca="1" t="shared" si="196"/>
        <v>38.027107340705264</v>
      </c>
      <c r="AZ118" s="65">
        <f ca="1" t="shared" si="156"/>
        <v>0.06888619642365845</v>
      </c>
      <c r="BA118" s="68">
        <f ca="1" t="shared" si="197"/>
        <v>-0.003005926382783075</v>
      </c>
      <c r="BB118" s="169">
        <f t="shared" si="157"/>
        <v>38.332</v>
      </c>
      <c r="BC118" s="169">
        <f t="shared" si="158"/>
        <v>38.332</v>
      </c>
      <c r="BD118" s="169">
        <v>0.4305</v>
      </c>
      <c r="BE118" s="171">
        <f t="shared" si="159"/>
        <v>0.21525</v>
      </c>
      <c r="BF118" s="182">
        <v>0</v>
      </c>
      <c r="BG118" s="182">
        <f t="shared" si="160"/>
        <v>0</v>
      </c>
      <c r="BH118" s="182">
        <f t="shared" si="161"/>
        <v>0</v>
      </c>
      <c r="BI118" s="169">
        <f t="shared" si="162"/>
        <v>0</v>
      </c>
      <c r="BJ118" s="171">
        <f t="shared" si="163"/>
        <v>38.54725</v>
      </c>
      <c r="BK118" s="171">
        <f t="shared" si="164"/>
        <v>0.7395822154742235</v>
      </c>
      <c r="BL118" s="171">
        <f t="shared" si="165"/>
        <v>39.28683221547422</v>
      </c>
      <c r="BM118" s="81">
        <f t="shared" si="166"/>
        <v>39.28683221547422</v>
      </c>
      <c r="BN118" s="63">
        <f t="shared" si="198"/>
        <v>38.332</v>
      </c>
      <c r="BO118" s="63">
        <f t="shared" si="167"/>
        <v>38.332</v>
      </c>
      <c r="BP118" s="63">
        <f t="shared" si="168"/>
        <v>0</v>
      </c>
      <c r="BQ118" s="63">
        <f t="shared" si="169"/>
        <v>0.9548322154742195</v>
      </c>
      <c r="BR118" s="67">
        <f t="shared" si="170"/>
        <v>34.790963136607154</v>
      </c>
      <c r="BS118" s="69">
        <f ca="1" t="shared" si="199"/>
        <v>1.14</v>
      </c>
      <c r="BT118" s="66">
        <f ca="1" t="shared" si="171"/>
        <v>43.698479999999996</v>
      </c>
      <c r="BU118" s="66">
        <f ca="1" t="shared" si="172"/>
        <v>39.28683221547422</v>
      </c>
      <c r="BV118" s="66">
        <f ca="1" t="shared" si="173"/>
        <v>4.411647784525776</v>
      </c>
      <c r="BW118" s="63">
        <f ca="1" t="shared" si="174"/>
        <v>0</v>
      </c>
      <c r="BX118" s="67">
        <f ca="1" t="shared" si="200"/>
        <v>37.891047838501265</v>
      </c>
      <c r="BY118" s="65">
        <f ca="1" t="shared" si="175"/>
        <v>0.08910603278562856</v>
      </c>
      <c r="BZ118" s="68">
        <f ca="1" t="shared" si="201"/>
        <v>-0.006573132169469198</v>
      </c>
      <c r="CA118" s="81">
        <f t="shared" si="176"/>
        <v>38.332</v>
      </c>
      <c r="CB118" s="63">
        <f t="shared" si="177"/>
        <v>38.332</v>
      </c>
      <c r="CC118" s="67">
        <f t="shared" si="178"/>
        <v>35.90132553133049</v>
      </c>
      <c r="CD118" s="69">
        <f ca="1" t="shared" si="202"/>
        <v>1.14</v>
      </c>
      <c r="CE118" s="190">
        <f ca="1" t="shared" si="179"/>
        <v>43.698479999999996</v>
      </c>
      <c r="CF118" s="70">
        <f ca="1" t="shared" si="180"/>
        <v>43.698479999999996</v>
      </c>
      <c r="CG118" s="67">
        <f ca="1" t="shared" si="181"/>
        <v>39.30481757441425</v>
      </c>
      <c r="CH118" s="65">
        <f ca="1" t="shared" si="182"/>
        <v>0.09480129194989151</v>
      </c>
      <c r="CI118" s="65">
        <f ca="1" t="shared" si="203"/>
        <v>0.030493059469457684</v>
      </c>
      <c r="CJ118" s="68">
        <f ca="1" t="shared" si="183"/>
        <v>0.03731144469634984</v>
      </c>
      <c r="CL118" s="97">
        <f ca="1" t="shared" si="204"/>
        <v>14600615.050756328</v>
      </c>
      <c r="CM118" s="97">
        <f ca="1" t="shared" si="205"/>
        <v>14556726.676770397</v>
      </c>
      <c r="CN118" s="97">
        <f ca="1" t="shared" si="206"/>
        <v>14504643.278272167</v>
      </c>
      <c r="CO118" s="97">
        <f ca="1" t="shared" si="184"/>
        <v>15045832.4737897</v>
      </c>
      <c r="CQ118" s="97">
        <f t="shared" si="207"/>
        <v>11399699.258175552</v>
      </c>
      <c r="CR118" s="97">
        <f t="shared" si="208"/>
        <v>11946134.706499668</v>
      </c>
      <c r="CS118" s="97">
        <f t="shared" si="209"/>
        <v>11682399.062823247</v>
      </c>
      <c r="CT118" s="97">
        <f t="shared" si="185"/>
        <v>12055245.785938574</v>
      </c>
      <c r="CV118" s="97">
        <f ca="1" t="shared" si="210"/>
        <v>14600615.050756328</v>
      </c>
      <c r="CW118" s="97">
        <f ca="1" t="shared" si="186"/>
        <v>14556726.6767704</v>
      </c>
      <c r="CX118" s="97">
        <f ca="1" t="shared" si="187"/>
        <v>14556726.6767704</v>
      </c>
      <c r="CY118" s="97">
        <f ca="1" t="shared" si="188"/>
        <v>15045832.4737897</v>
      </c>
    </row>
    <row r="119" spans="2:103" ht="12.75">
      <c r="B119" s="14">
        <v>10343</v>
      </c>
      <c r="C119" s="15" t="s">
        <v>118</v>
      </c>
      <c r="D119" s="16">
        <f>RHWM!D106</f>
        <v>1</v>
      </c>
      <c r="E119" s="16">
        <f>RHWM!E106</f>
        <v>0</v>
      </c>
      <c r="F119" s="18">
        <f>RHWM!M106</f>
        <v>11.959</v>
      </c>
      <c r="G119" s="18">
        <f>RHWM!N106</f>
        <v>15.132</v>
      </c>
      <c r="H119" s="18">
        <f>RHWM!O106</f>
        <v>31.389</v>
      </c>
      <c r="I119" s="18">
        <v>0</v>
      </c>
      <c r="J119" s="18">
        <v>0</v>
      </c>
      <c r="K119" s="18">
        <v>0</v>
      </c>
      <c r="L119" s="18">
        <v>0</v>
      </c>
      <c r="M119" s="18">
        <v>0</v>
      </c>
      <c r="N119" s="18">
        <v>0</v>
      </c>
      <c r="O119" s="81">
        <f t="shared" si="130"/>
        <v>31.389</v>
      </c>
      <c r="P119" s="63">
        <f t="shared" si="131"/>
        <v>15.132</v>
      </c>
      <c r="Q119" s="63">
        <f t="shared" si="132"/>
        <v>15.132</v>
      </c>
      <c r="R119" s="63">
        <f t="shared" si="133"/>
        <v>0</v>
      </c>
      <c r="S119" s="63">
        <f t="shared" si="134"/>
        <v>16.256999999999998</v>
      </c>
      <c r="T119" s="67">
        <f t="shared" si="189"/>
        <v>33.949064274110405</v>
      </c>
      <c r="U119" s="138">
        <f ca="1" t="shared" si="190"/>
        <v>1.17</v>
      </c>
      <c r="V119" s="66">
        <f ca="1" t="shared" si="191"/>
        <v>17.704439999999998</v>
      </c>
      <c r="W119" s="66">
        <f ca="1" t="shared" si="135"/>
        <v>17.704439999999998</v>
      </c>
      <c r="X119" s="66">
        <f ca="1" t="shared" si="136"/>
        <v>0</v>
      </c>
      <c r="Y119" s="63">
        <f ca="1" t="shared" si="137"/>
        <v>13.684560000000001</v>
      </c>
      <c r="Z119" s="67">
        <f ca="1" t="shared" si="192"/>
        <v>34.90901605903751</v>
      </c>
      <c r="AA119" s="68">
        <f ca="1" t="shared" si="193"/>
        <v>0.028276236928838294</v>
      </c>
      <c r="AB119" s="169">
        <f t="shared" si="138"/>
        <v>15.132</v>
      </c>
      <c r="AC119" s="169">
        <f t="shared" si="139"/>
        <v>15.132</v>
      </c>
      <c r="AD119" s="169">
        <v>0</v>
      </c>
      <c r="AE119" s="171">
        <f t="shared" si="140"/>
        <v>0</v>
      </c>
      <c r="AF119" s="182">
        <v>0</v>
      </c>
      <c r="AG119" s="182">
        <f t="shared" si="141"/>
        <v>0</v>
      </c>
      <c r="AH119" s="182">
        <f t="shared" si="142"/>
        <v>0</v>
      </c>
      <c r="AI119" s="182">
        <v>0</v>
      </c>
      <c r="AJ119" s="171">
        <f t="shared" si="143"/>
        <v>0</v>
      </c>
      <c r="AK119" s="171">
        <f t="shared" si="144"/>
        <v>15.132</v>
      </c>
      <c r="AL119" s="171">
        <f t="shared" si="145"/>
        <v>0.9656942382765158</v>
      </c>
      <c r="AM119" s="171">
        <f t="shared" si="146"/>
        <v>16.097694238276514</v>
      </c>
      <c r="AN119" s="81">
        <f t="shared" si="147"/>
        <v>16.097694238276514</v>
      </c>
      <c r="AO119" s="63">
        <f t="shared" si="148"/>
        <v>15.132</v>
      </c>
      <c r="AP119" s="63">
        <f t="shared" si="149"/>
        <v>15.132</v>
      </c>
      <c r="AQ119" s="63">
        <f t="shared" si="150"/>
        <v>0</v>
      </c>
      <c r="AR119" s="63">
        <f t="shared" si="151"/>
        <v>0.9656942382765141</v>
      </c>
      <c r="AS119" s="67">
        <f t="shared" si="194"/>
        <v>35.5763854636149</v>
      </c>
      <c r="AT119" s="65">
        <f ca="1" t="shared" si="195"/>
        <v>1.17</v>
      </c>
      <c r="AU119" s="66">
        <f ca="1" t="shared" si="152"/>
        <v>17.704439999999998</v>
      </c>
      <c r="AV119" s="66">
        <f ca="1" t="shared" si="153"/>
        <v>16.097694238276514</v>
      </c>
      <c r="AW119" s="66">
        <f ca="1" t="shared" si="154"/>
        <v>1.6067457617234844</v>
      </c>
      <c r="AX119" s="63">
        <f ca="1" t="shared" si="155"/>
        <v>0</v>
      </c>
      <c r="AY119" s="67">
        <f ca="1" t="shared" si="196"/>
        <v>38.807042137389324</v>
      </c>
      <c r="AZ119" s="65">
        <f ca="1" t="shared" si="156"/>
        <v>0.09080901928832885</v>
      </c>
      <c r="BA119" s="68">
        <f ca="1" t="shared" si="197"/>
        <v>0.11166244478960796</v>
      </c>
      <c r="BB119" s="169">
        <f t="shared" si="157"/>
        <v>15.132</v>
      </c>
      <c r="BC119" s="169">
        <f t="shared" si="158"/>
        <v>15.132</v>
      </c>
      <c r="BD119" s="169">
        <v>0</v>
      </c>
      <c r="BE119" s="171">
        <f t="shared" si="159"/>
        <v>0</v>
      </c>
      <c r="BF119" s="182">
        <v>0</v>
      </c>
      <c r="BG119" s="182">
        <f t="shared" si="160"/>
        <v>0</v>
      </c>
      <c r="BH119" s="182">
        <f t="shared" si="161"/>
        <v>0</v>
      </c>
      <c r="BI119" s="169">
        <f t="shared" si="162"/>
        <v>0</v>
      </c>
      <c r="BJ119" s="171">
        <f t="shared" si="163"/>
        <v>15.132</v>
      </c>
      <c r="BK119" s="171">
        <f t="shared" si="164"/>
        <v>0.2903283135517048</v>
      </c>
      <c r="BL119" s="171">
        <f t="shared" si="165"/>
        <v>15.422328313551704</v>
      </c>
      <c r="BM119" s="81">
        <f t="shared" si="166"/>
        <v>15.422328313551704</v>
      </c>
      <c r="BN119" s="63">
        <f t="shared" si="198"/>
        <v>15.132</v>
      </c>
      <c r="BO119" s="63">
        <f t="shared" si="167"/>
        <v>15.132</v>
      </c>
      <c r="BP119" s="63">
        <f t="shared" si="168"/>
        <v>0</v>
      </c>
      <c r="BQ119" s="63">
        <f t="shared" si="169"/>
        <v>0.2903283135517043</v>
      </c>
      <c r="BR119" s="67">
        <f t="shared" si="170"/>
        <v>34.790963136607154</v>
      </c>
      <c r="BS119" s="69">
        <f ca="1" t="shared" si="199"/>
        <v>1.17</v>
      </c>
      <c r="BT119" s="66">
        <f ca="1" t="shared" si="171"/>
        <v>17.704439999999998</v>
      </c>
      <c r="BU119" s="66">
        <f ca="1" t="shared" si="172"/>
        <v>15.422328313551704</v>
      </c>
      <c r="BV119" s="66">
        <f ca="1" t="shared" si="173"/>
        <v>2.282111686448294</v>
      </c>
      <c r="BW119" s="63">
        <f ca="1" t="shared" si="174"/>
        <v>0</v>
      </c>
      <c r="BX119" s="67">
        <f ca="1" t="shared" si="200"/>
        <v>38.675211623115466</v>
      </c>
      <c r="BY119" s="65">
        <f ca="1" t="shared" si="175"/>
        <v>0.11164532787599923</v>
      </c>
      <c r="BZ119" s="68">
        <f ca="1" t="shared" si="201"/>
        <v>0.10788604175232641</v>
      </c>
      <c r="CA119" s="81">
        <f t="shared" si="176"/>
        <v>15.132</v>
      </c>
      <c r="CB119" s="63">
        <f t="shared" si="177"/>
        <v>15.132</v>
      </c>
      <c r="CC119" s="67">
        <f t="shared" si="178"/>
        <v>35.90132553133049</v>
      </c>
      <c r="CD119" s="69">
        <f ca="1" t="shared" si="202"/>
        <v>1.17</v>
      </c>
      <c r="CE119" s="190">
        <f ca="1" t="shared" si="179"/>
        <v>17.704439999999998</v>
      </c>
      <c r="CF119" s="70">
        <f ca="1" t="shared" si="180"/>
        <v>17.704439999999998</v>
      </c>
      <c r="CG119" s="67">
        <f ca="1" t="shared" si="181"/>
        <v>39.30481757441425</v>
      </c>
      <c r="CH119" s="65">
        <f ca="1" t="shared" si="182"/>
        <v>0.09480129194989151</v>
      </c>
      <c r="CI119" s="65">
        <f ca="1" t="shared" si="203"/>
        <v>0.1259216675698518</v>
      </c>
      <c r="CJ119" s="68">
        <f ca="1" t="shared" si="183"/>
        <v>0.016279314963657088</v>
      </c>
      <c r="CL119" s="97">
        <f ca="1" t="shared" si="204"/>
        <v>5414070.523220091</v>
      </c>
      <c r="CM119" s="97">
        <f ca="1" t="shared" si="205"/>
        <v>6018618.874106198</v>
      </c>
      <c r="CN119" s="97">
        <f ca="1" t="shared" si="206"/>
        <v>5998173.161738251</v>
      </c>
      <c r="CO119" s="97">
        <f ca="1" t="shared" si="184"/>
        <v>6095819.311844745</v>
      </c>
      <c r="CQ119" s="97">
        <f t="shared" si="207"/>
        <v>4500163.027619547</v>
      </c>
      <c r="CR119" s="97">
        <f t="shared" si="208"/>
        <v>4715874.735958285</v>
      </c>
      <c r="CS119" s="97">
        <f t="shared" si="209"/>
        <v>4611762.042644301</v>
      </c>
      <c r="CT119" s="97">
        <f t="shared" si="185"/>
        <v>4758947.595555215</v>
      </c>
      <c r="CV119" s="97">
        <f ca="1" t="shared" si="210"/>
        <v>5414070.52322009</v>
      </c>
      <c r="CW119" s="97">
        <f ca="1" t="shared" si="186"/>
        <v>6018618.874106197</v>
      </c>
      <c r="CX119" s="97">
        <f ca="1" t="shared" si="187"/>
        <v>6018618.874106197</v>
      </c>
      <c r="CY119" s="97">
        <f ca="1" t="shared" si="188"/>
        <v>6095819.311844744</v>
      </c>
    </row>
    <row r="120" spans="2:103" ht="12.75">
      <c r="B120" s="14">
        <v>10349</v>
      </c>
      <c r="C120" s="15" t="s">
        <v>119</v>
      </c>
      <c r="D120" s="16">
        <f>RHWM!D107</f>
        <v>1</v>
      </c>
      <c r="E120" s="16">
        <f>RHWM!E107</f>
        <v>0</v>
      </c>
      <c r="F120" s="18">
        <f>RHWM!M107</f>
        <v>461.109</v>
      </c>
      <c r="G120" s="18">
        <f>RHWM!N107</f>
        <v>459.044</v>
      </c>
      <c r="H120" s="18">
        <f>RHWM!O107</f>
        <v>523.911</v>
      </c>
      <c r="I120" s="18">
        <v>0</v>
      </c>
      <c r="J120" s="18">
        <v>0</v>
      </c>
      <c r="K120" s="18">
        <v>0</v>
      </c>
      <c r="L120" s="18">
        <v>0</v>
      </c>
      <c r="M120" s="18">
        <v>0</v>
      </c>
      <c r="N120" s="18">
        <v>0</v>
      </c>
      <c r="O120" s="81">
        <f t="shared" si="130"/>
        <v>523.911</v>
      </c>
      <c r="P120" s="63">
        <f t="shared" si="131"/>
        <v>459.044</v>
      </c>
      <c r="Q120" s="63">
        <f t="shared" si="132"/>
        <v>459.044</v>
      </c>
      <c r="R120" s="63">
        <f t="shared" si="133"/>
        <v>0</v>
      </c>
      <c r="S120" s="63">
        <f t="shared" si="134"/>
        <v>64.86699999999996</v>
      </c>
      <c r="T120" s="67">
        <f t="shared" si="189"/>
        <v>33.949064274110405</v>
      </c>
      <c r="U120" s="138">
        <f ca="1" t="shared" si="190"/>
        <v>1.05</v>
      </c>
      <c r="V120" s="66">
        <f ca="1" t="shared" si="191"/>
        <v>481.9962</v>
      </c>
      <c r="W120" s="66">
        <f ca="1" t="shared" si="135"/>
        <v>481.9962</v>
      </c>
      <c r="X120" s="66">
        <f ca="1" t="shared" si="136"/>
        <v>0</v>
      </c>
      <c r="Y120" s="63">
        <f ca="1" t="shared" si="137"/>
        <v>41.91479999999996</v>
      </c>
      <c r="Z120" s="67">
        <f ca="1" t="shared" si="192"/>
        <v>34.90901605903751</v>
      </c>
      <c r="AA120" s="68">
        <f ca="1" t="shared" si="193"/>
        <v>0.028276236928838294</v>
      </c>
      <c r="AB120" s="169">
        <f t="shared" si="138"/>
        <v>459.044</v>
      </c>
      <c r="AC120" s="169">
        <f t="shared" si="139"/>
        <v>459.044</v>
      </c>
      <c r="AD120" s="169">
        <v>64.151</v>
      </c>
      <c r="AE120" s="171">
        <f t="shared" si="140"/>
        <v>32.0755</v>
      </c>
      <c r="AF120" s="182">
        <v>54.04</v>
      </c>
      <c r="AG120" s="182">
        <f t="shared" si="141"/>
        <v>0</v>
      </c>
      <c r="AH120" s="182">
        <f t="shared" si="142"/>
        <v>0</v>
      </c>
      <c r="AI120" s="182">
        <v>0</v>
      </c>
      <c r="AJ120" s="171">
        <f t="shared" si="143"/>
        <v>0</v>
      </c>
      <c r="AK120" s="171">
        <f t="shared" si="144"/>
        <v>491.11949999999996</v>
      </c>
      <c r="AL120" s="171">
        <f t="shared" si="145"/>
        <v>31.34227276336527</v>
      </c>
      <c r="AM120" s="171">
        <f t="shared" si="146"/>
        <v>522.4617727633653</v>
      </c>
      <c r="AN120" s="81">
        <f t="shared" si="147"/>
        <v>522.4617727633653</v>
      </c>
      <c r="AO120" s="63">
        <f t="shared" si="148"/>
        <v>459.044</v>
      </c>
      <c r="AP120" s="63">
        <f t="shared" si="149"/>
        <v>459.044</v>
      </c>
      <c r="AQ120" s="63">
        <f t="shared" si="150"/>
        <v>0</v>
      </c>
      <c r="AR120" s="63">
        <f t="shared" si="151"/>
        <v>63.41777276336529</v>
      </c>
      <c r="AS120" s="67">
        <f t="shared" si="194"/>
        <v>35.5763854636149</v>
      </c>
      <c r="AT120" s="65">
        <f ca="1" t="shared" si="195"/>
        <v>1.05</v>
      </c>
      <c r="AU120" s="66">
        <f ca="1" t="shared" si="152"/>
        <v>481.9962</v>
      </c>
      <c r="AV120" s="66">
        <f ca="1" t="shared" si="153"/>
        <v>481.9962</v>
      </c>
      <c r="AW120" s="66">
        <f ca="1" t="shared" si="154"/>
        <v>0</v>
      </c>
      <c r="AX120" s="63">
        <f ca="1" t="shared" si="155"/>
        <v>40.46557276336529</v>
      </c>
      <c r="AY120" s="67">
        <f ca="1" t="shared" si="196"/>
        <v>36.38031310262951</v>
      </c>
      <c r="AZ120" s="65">
        <f ca="1" t="shared" si="156"/>
        <v>0.0225972264618286</v>
      </c>
      <c r="BA120" s="68">
        <f ca="1" t="shared" si="197"/>
        <v>0.0421466202629075</v>
      </c>
      <c r="BB120" s="169">
        <f t="shared" si="157"/>
        <v>459.044</v>
      </c>
      <c r="BC120" s="169">
        <f t="shared" si="158"/>
        <v>459.044</v>
      </c>
      <c r="BD120" s="169">
        <v>64.151</v>
      </c>
      <c r="BE120" s="171">
        <f t="shared" si="159"/>
        <v>32.0755</v>
      </c>
      <c r="BF120" s="182">
        <v>54.04</v>
      </c>
      <c r="BG120" s="182">
        <f t="shared" si="160"/>
        <v>0</v>
      </c>
      <c r="BH120" s="182">
        <f t="shared" si="161"/>
        <v>0</v>
      </c>
      <c r="BI120" s="169">
        <f t="shared" si="162"/>
        <v>0</v>
      </c>
      <c r="BJ120" s="171">
        <f t="shared" si="163"/>
        <v>491.11949999999996</v>
      </c>
      <c r="BK120" s="171">
        <f t="shared" si="164"/>
        <v>9.422805722135637</v>
      </c>
      <c r="BL120" s="171">
        <f t="shared" si="165"/>
        <v>500.5423057221356</v>
      </c>
      <c r="BM120" s="81">
        <f t="shared" si="166"/>
        <v>500.5423057221356</v>
      </c>
      <c r="BN120" s="63">
        <f t="shared" si="198"/>
        <v>459.044</v>
      </c>
      <c r="BO120" s="63">
        <f t="shared" si="167"/>
        <v>459.044</v>
      </c>
      <c r="BP120" s="63">
        <f t="shared" si="168"/>
        <v>0</v>
      </c>
      <c r="BQ120" s="63">
        <f t="shared" si="169"/>
        <v>41.498305722135626</v>
      </c>
      <c r="BR120" s="67">
        <f t="shared" si="170"/>
        <v>34.790963136607154</v>
      </c>
      <c r="BS120" s="69">
        <f ca="1" t="shared" si="199"/>
        <v>1.05</v>
      </c>
      <c r="BT120" s="66">
        <f ca="1" t="shared" si="171"/>
        <v>481.9962</v>
      </c>
      <c r="BU120" s="66">
        <f ca="1" t="shared" si="172"/>
        <v>481.9962</v>
      </c>
      <c r="BV120" s="66">
        <f ca="1" t="shared" si="173"/>
        <v>0</v>
      </c>
      <c r="BW120" s="63">
        <f ca="1" t="shared" si="174"/>
        <v>18.54610572213562</v>
      </c>
      <c r="BX120" s="67">
        <f ca="1" t="shared" si="200"/>
        <v>35.05800570624853</v>
      </c>
      <c r="BY120" s="65">
        <f ca="1" t="shared" si="175"/>
        <v>0.007675630266193778</v>
      </c>
      <c r="BZ120" s="68">
        <f ca="1" t="shared" si="201"/>
        <v>0.0042679417534727815</v>
      </c>
      <c r="CA120" s="81">
        <f t="shared" si="176"/>
        <v>459.044</v>
      </c>
      <c r="CB120" s="63">
        <f t="shared" si="177"/>
        <v>459.044</v>
      </c>
      <c r="CC120" s="67">
        <f t="shared" si="178"/>
        <v>35.90132553133049</v>
      </c>
      <c r="CD120" s="69">
        <f ca="1" t="shared" si="202"/>
        <v>1.05</v>
      </c>
      <c r="CE120" s="190">
        <f ca="1" t="shared" si="179"/>
        <v>481.9962</v>
      </c>
      <c r="CF120" s="70">
        <f ca="1" t="shared" si="180"/>
        <v>481.9962</v>
      </c>
      <c r="CG120" s="67">
        <f ca="1" t="shared" si="181"/>
        <v>39.30481757441425</v>
      </c>
      <c r="CH120" s="65">
        <f ca="1" t="shared" si="182"/>
        <v>0.09480129194989151</v>
      </c>
      <c r="CI120" s="65">
        <f ca="1" t="shared" si="203"/>
        <v>0.1259216675698518</v>
      </c>
      <c r="CJ120" s="68">
        <f ca="1" t="shared" si="183"/>
        <v>0.12113672134546993</v>
      </c>
      <c r="CL120" s="97">
        <f ca="1" t="shared" si="204"/>
        <v>147395874.63506868</v>
      </c>
      <c r="CM120" s="97">
        <f ca="1" t="shared" si="205"/>
        <v>153608112.59163207</v>
      </c>
      <c r="CN120" s="97">
        <f ca="1" t="shared" si="206"/>
        <v>148024951.64271334</v>
      </c>
      <c r="CO120" s="97">
        <f ca="1" t="shared" si="184"/>
        <v>165956208.96203336</v>
      </c>
      <c r="CQ120" s="97">
        <f t="shared" si="207"/>
        <v>136516840.9232479</v>
      </c>
      <c r="CR120" s="97">
        <f t="shared" si="208"/>
        <v>143060666.28953442</v>
      </c>
      <c r="CS120" s="97">
        <f t="shared" si="209"/>
        <v>139902306.04702687</v>
      </c>
      <c r="CT120" s="97">
        <f t="shared" si="185"/>
        <v>144367323.5563077</v>
      </c>
      <c r="CV120" s="97">
        <f ca="1" t="shared" si="210"/>
        <v>147395874.63506868</v>
      </c>
      <c r="CW120" s="97">
        <f ca="1" t="shared" si="186"/>
        <v>153608112.59163204</v>
      </c>
      <c r="CX120" s="97">
        <f ca="1" t="shared" si="187"/>
        <v>153608112.59163204</v>
      </c>
      <c r="CY120" s="97">
        <f ca="1" t="shared" si="188"/>
        <v>165956208.96203336</v>
      </c>
    </row>
    <row r="121" spans="2:103" ht="12.75">
      <c r="B121" s="14">
        <v>10352</v>
      </c>
      <c r="C121" s="15" t="s">
        <v>120</v>
      </c>
      <c r="D121" s="16">
        <f>RHWM!D108</f>
        <v>1</v>
      </c>
      <c r="E121" s="16">
        <f>RHWM!E108</f>
        <v>0</v>
      </c>
      <c r="F121" s="18">
        <f>RHWM!M108</f>
        <v>15.885</v>
      </c>
      <c r="G121" s="18">
        <f>RHWM!N108</f>
        <v>15.917</v>
      </c>
      <c r="H121" s="18">
        <f>RHWM!O108</f>
        <v>15.907</v>
      </c>
      <c r="I121" s="18">
        <f>MAX(F121-$H121,0)</f>
        <v>0</v>
      </c>
      <c r="J121" s="18">
        <f>MAX(G121-$H121,0)</f>
        <v>0.009999999999999787</v>
      </c>
      <c r="K121" s="18">
        <v>0</v>
      </c>
      <c r="L121" s="18">
        <f>J121</f>
        <v>0.009999999999999787</v>
      </c>
      <c r="M121" s="18">
        <v>0</v>
      </c>
      <c r="N121" s="18">
        <v>0</v>
      </c>
      <c r="O121" s="81">
        <f t="shared" si="130"/>
        <v>15.907</v>
      </c>
      <c r="P121" s="63">
        <f t="shared" si="131"/>
        <v>15.917</v>
      </c>
      <c r="Q121" s="63">
        <f t="shared" si="132"/>
        <v>15.907</v>
      </c>
      <c r="R121" s="63">
        <f t="shared" si="133"/>
        <v>0.009999999999999787</v>
      </c>
      <c r="S121" s="63">
        <f t="shared" si="134"/>
        <v>0</v>
      </c>
      <c r="T121" s="67">
        <f t="shared" si="189"/>
        <v>33.96739117976216</v>
      </c>
      <c r="U121" s="138">
        <f ca="1" t="shared" si="190"/>
        <v>1.08</v>
      </c>
      <c r="V121" s="66">
        <f ca="1" t="shared" si="191"/>
        <v>17.190360000000002</v>
      </c>
      <c r="W121" s="66">
        <f ca="1" t="shared" si="135"/>
        <v>15.907</v>
      </c>
      <c r="X121" s="66">
        <f ca="1" t="shared" si="136"/>
        <v>1.2833600000000018</v>
      </c>
      <c r="Y121" s="63">
        <f ca="1" t="shared" si="137"/>
        <v>0</v>
      </c>
      <c r="Z121" s="67">
        <f ca="1" t="shared" si="192"/>
        <v>37.015129505787534</v>
      </c>
      <c r="AA121" s="68">
        <f ca="1" t="shared" si="193"/>
        <v>0.08972541664728206</v>
      </c>
      <c r="AB121" s="169">
        <f t="shared" si="138"/>
        <v>15.907</v>
      </c>
      <c r="AC121" s="169">
        <f t="shared" si="139"/>
        <v>15.907</v>
      </c>
      <c r="AD121" s="169">
        <v>0</v>
      </c>
      <c r="AE121" s="171">
        <f t="shared" si="140"/>
        <v>0</v>
      </c>
      <c r="AF121" s="182">
        <v>0</v>
      </c>
      <c r="AG121" s="182">
        <f t="shared" si="141"/>
        <v>0</v>
      </c>
      <c r="AH121" s="182">
        <f t="shared" si="142"/>
        <v>0</v>
      </c>
      <c r="AI121" s="182">
        <v>0</v>
      </c>
      <c r="AJ121" s="171">
        <f t="shared" si="143"/>
        <v>0.004999999999999893</v>
      </c>
      <c r="AK121" s="171">
        <f t="shared" si="144"/>
        <v>15.911999999999999</v>
      </c>
      <c r="AL121" s="171">
        <f t="shared" si="145"/>
        <v>1.0154722917959238</v>
      </c>
      <c r="AM121" s="171">
        <f t="shared" si="146"/>
        <v>16.927472291795922</v>
      </c>
      <c r="AN121" s="81">
        <f t="shared" si="147"/>
        <v>16.927472291795922</v>
      </c>
      <c r="AO121" s="63">
        <f t="shared" si="148"/>
        <v>15.917</v>
      </c>
      <c r="AP121" s="63">
        <f t="shared" si="149"/>
        <v>15.917</v>
      </c>
      <c r="AQ121" s="63">
        <f t="shared" si="150"/>
        <v>0</v>
      </c>
      <c r="AR121" s="63">
        <f t="shared" si="151"/>
        <v>1.0104722917959226</v>
      </c>
      <c r="AS121" s="67">
        <f t="shared" si="194"/>
        <v>35.5763854636149</v>
      </c>
      <c r="AT121" s="65">
        <f ca="1" t="shared" si="195"/>
        <v>1.08</v>
      </c>
      <c r="AU121" s="66">
        <f ca="1" t="shared" si="152"/>
        <v>17.190360000000002</v>
      </c>
      <c r="AV121" s="66">
        <f ca="1" t="shared" si="153"/>
        <v>16.927472291795922</v>
      </c>
      <c r="AW121" s="66">
        <f ca="1" t="shared" si="154"/>
        <v>0.2628877082040795</v>
      </c>
      <c r="AX121" s="63">
        <f ca="1" t="shared" si="155"/>
        <v>0</v>
      </c>
      <c r="AY121" s="67">
        <f ca="1" t="shared" si="196"/>
        <v>36.78923618548201</v>
      </c>
      <c r="AZ121" s="65">
        <f ca="1" t="shared" si="156"/>
        <v>0.03409145437519312</v>
      </c>
      <c r="BA121" s="68">
        <f ca="1" t="shared" si="197"/>
        <v>-0.00610272943311474</v>
      </c>
      <c r="BB121" s="169">
        <f t="shared" si="157"/>
        <v>15.907</v>
      </c>
      <c r="BC121" s="169">
        <f t="shared" si="158"/>
        <v>15.907</v>
      </c>
      <c r="BD121" s="169">
        <v>0</v>
      </c>
      <c r="BE121" s="171">
        <f t="shared" si="159"/>
        <v>0</v>
      </c>
      <c r="BF121" s="182">
        <v>0</v>
      </c>
      <c r="BG121" s="182">
        <f t="shared" si="160"/>
        <v>0</v>
      </c>
      <c r="BH121" s="182">
        <f t="shared" si="161"/>
        <v>0</v>
      </c>
      <c r="BI121" s="169">
        <f t="shared" si="162"/>
        <v>0.0024999999999999467</v>
      </c>
      <c r="BJ121" s="171">
        <f t="shared" si="163"/>
        <v>15.9095</v>
      </c>
      <c r="BK121" s="171">
        <f t="shared" si="164"/>
        <v>0.305245724587024</v>
      </c>
      <c r="BL121" s="171">
        <f t="shared" si="165"/>
        <v>16.214745724587022</v>
      </c>
      <c r="BM121" s="81">
        <f t="shared" si="166"/>
        <v>16.214745724587022</v>
      </c>
      <c r="BN121" s="63">
        <f t="shared" si="198"/>
        <v>15.917</v>
      </c>
      <c r="BO121" s="63">
        <f t="shared" si="167"/>
        <v>15.917</v>
      </c>
      <c r="BP121" s="63">
        <f t="shared" si="168"/>
        <v>0</v>
      </c>
      <c r="BQ121" s="63">
        <f t="shared" si="169"/>
        <v>0.2977457245870223</v>
      </c>
      <c r="BR121" s="67">
        <f t="shared" si="170"/>
        <v>34.790963136607154</v>
      </c>
      <c r="BS121" s="69">
        <f ca="1" t="shared" si="199"/>
        <v>1.08</v>
      </c>
      <c r="BT121" s="66">
        <f ca="1" t="shared" si="171"/>
        <v>17.190360000000002</v>
      </c>
      <c r="BU121" s="66">
        <f ca="1" t="shared" si="172"/>
        <v>16.214745724587022</v>
      </c>
      <c r="BV121" s="66">
        <f ca="1" t="shared" si="173"/>
        <v>0.9756142754129797</v>
      </c>
      <c r="BW121" s="63">
        <f ca="1" t="shared" si="174"/>
        <v>0</v>
      </c>
      <c r="BX121" s="67">
        <f ca="1" t="shared" si="200"/>
        <v>36.65062402427919</v>
      </c>
      <c r="BY121" s="65">
        <f ca="1" t="shared" si="175"/>
        <v>0.05345241177630111</v>
      </c>
      <c r="BZ121" s="68">
        <f ca="1" t="shared" si="201"/>
        <v>-0.009847472813822034</v>
      </c>
      <c r="CA121" s="81">
        <f t="shared" si="176"/>
        <v>15.917</v>
      </c>
      <c r="CB121" s="63">
        <f t="shared" si="177"/>
        <v>15.917</v>
      </c>
      <c r="CC121" s="67">
        <f t="shared" si="178"/>
        <v>35.90132553133049</v>
      </c>
      <c r="CD121" s="69">
        <f ca="1" t="shared" si="202"/>
        <v>1.08</v>
      </c>
      <c r="CE121" s="190">
        <f ca="1" t="shared" si="179"/>
        <v>17.190360000000002</v>
      </c>
      <c r="CF121" s="70">
        <f ca="1" t="shared" si="180"/>
        <v>17.190360000000002</v>
      </c>
      <c r="CG121" s="67">
        <f ca="1" t="shared" si="181"/>
        <v>39.30481757441425</v>
      </c>
      <c r="CH121" s="65">
        <f ca="1" t="shared" si="182"/>
        <v>0.09480129194989151</v>
      </c>
      <c r="CI121" s="65">
        <f ca="1" t="shared" si="203"/>
        <v>0.0618581671656373</v>
      </c>
      <c r="CJ121" s="68">
        <f ca="1" t="shared" si="183"/>
        <v>0.07241878196608043</v>
      </c>
      <c r="CL121" s="97">
        <f ca="1" t="shared" si="204"/>
        <v>5574017.798463722</v>
      </c>
      <c r="CM121" s="97">
        <f ca="1" t="shared" si="205"/>
        <v>5540001.075984333</v>
      </c>
      <c r="CN121" s="97">
        <f ca="1" t="shared" si="206"/>
        <v>5519127.80972959</v>
      </c>
      <c r="CO121" s="97">
        <f ca="1" t="shared" si="184"/>
        <v>5918816.323225329</v>
      </c>
      <c r="CQ121" s="97">
        <f t="shared" si="207"/>
        <v>4736172.536976483</v>
      </c>
      <c r="CR121" s="97">
        <f t="shared" si="208"/>
        <v>4960519.308237379</v>
      </c>
      <c r="CS121" s="97">
        <f t="shared" si="209"/>
        <v>4851005.579749495</v>
      </c>
      <c r="CT121" s="97">
        <f t="shared" si="185"/>
        <v>5005826.650703963</v>
      </c>
      <c r="CV121" s="97">
        <f ca="1" t="shared" si="210"/>
        <v>5574017.798463723</v>
      </c>
      <c r="CW121" s="97">
        <f ca="1" t="shared" si="186"/>
        <v>5540001.075984333</v>
      </c>
      <c r="CX121" s="97">
        <f ca="1" t="shared" si="187"/>
        <v>5540001.075984333</v>
      </c>
      <c r="CY121" s="97">
        <f ca="1" t="shared" si="188"/>
        <v>5918816.323225329</v>
      </c>
    </row>
    <row r="122" spans="2:103" ht="12.75">
      <c r="B122" s="14">
        <v>10354</v>
      </c>
      <c r="C122" s="15" t="s">
        <v>121</v>
      </c>
      <c r="D122" s="16">
        <f>RHWM!D109</f>
        <v>1</v>
      </c>
      <c r="E122" s="16">
        <f>RHWM!E109</f>
        <v>0</v>
      </c>
      <c r="F122" s="18">
        <f>RHWM!M109</f>
        <v>715.237</v>
      </c>
      <c r="G122" s="18">
        <f>RHWM!N109</f>
        <v>715.036</v>
      </c>
      <c r="H122" s="18">
        <f>RHWM!O109</f>
        <v>799.07</v>
      </c>
      <c r="I122" s="18">
        <v>0</v>
      </c>
      <c r="J122" s="18">
        <v>0</v>
      </c>
      <c r="K122" s="18">
        <v>0</v>
      </c>
      <c r="L122" s="18">
        <v>0</v>
      </c>
      <c r="M122" s="18">
        <v>0</v>
      </c>
      <c r="N122" s="18">
        <v>0</v>
      </c>
      <c r="O122" s="81">
        <f t="shared" si="130"/>
        <v>799.07</v>
      </c>
      <c r="P122" s="63">
        <f t="shared" si="131"/>
        <v>715.036</v>
      </c>
      <c r="Q122" s="63">
        <f t="shared" si="132"/>
        <v>715.036</v>
      </c>
      <c r="R122" s="63">
        <f t="shared" si="133"/>
        <v>0</v>
      </c>
      <c r="S122" s="63">
        <f t="shared" si="134"/>
        <v>84.0340000000001</v>
      </c>
      <c r="T122" s="67">
        <f t="shared" si="189"/>
        <v>33.949064274110405</v>
      </c>
      <c r="U122" s="138">
        <f ca="1" t="shared" si="190"/>
        <v>1.3</v>
      </c>
      <c r="V122" s="66">
        <f ca="1" t="shared" si="191"/>
        <v>929.5468</v>
      </c>
      <c r="W122" s="66">
        <f ca="1" t="shared" si="135"/>
        <v>799.07</v>
      </c>
      <c r="X122" s="66">
        <f ca="1" t="shared" si="136"/>
        <v>130.4767999999999</v>
      </c>
      <c r="Y122" s="63">
        <f ca="1" t="shared" si="137"/>
        <v>0</v>
      </c>
      <c r="Z122" s="67">
        <f ca="1" t="shared" si="192"/>
        <v>38.86888005885782</v>
      </c>
      <c r="AA122" s="68">
        <f ca="1" t="shared" si="193"/>
        <v>0.14491756665291278</v>
      </c>
      <c r="AB122" s="169">
        <f t="shared" si="138"/>
        <v>715.036</v>
      </c>
      <c r="AC122" s="169">
        <f t="shared" si="139"/>
        <v>715.036</v>
      </c>
      <c r="AD122" s="169">
        <v>10.796500000000002</v>
      </c>
      <c r="AE122" s="171">
        <f t="shared" si="140"/>
        <v>5.398250000000001</v>
      </c>
      <c r="AF122" s="182">
        <v>0</v>
      </c>
      <c r="AG122" s="182">
        <f t="shared" si="141"/>
        <v>0</v>
      </c>
      <c r="AH122" s="182">
        <f t="shared" si="142"/>
        <v>0</v>
      </c>
      <c r="AI122" s="182">
        <v>0</v>
      </c>
      <c r="AJ122" s="171">
        <f t="shared" si="143"/>
        <v>0</v>
      </c>
      <c r="AK122" s="171">
        <f t="shared" si="144"/>
        <v>720.4342499999999</v>
      </c>
      <c r="AL122" s="171">
        <f t="shared" si="145"/>
        <v>45.97668545348023</v>
      </c>
      <c r="AM122" s="171">
        <f t="shared" si="146"/>
        <v>766.4109354534801</v>
      </c>
      <c r="AN122" s="81">
        <f t="shared" si="147"/>
        <v>766.4109354534801</v>
      </c>
      <c r="AO122" s="63">
        <f t="shared" si="148"/>
        <v>715.036</v>
      </c>
      <c r="AP122" s="63">
        <f t="shared" si="149"/>
        <v>715.036</v>
      </c>
      <c r="AQ122" s="63">
        <f t="shared" si="150"/>
        <v>0</v>
      </c>
      <c r="AR122" s="63">
        <f t="shared" si="151"/>
        <v>51.374935453480134</v>
      </c>
      <c r="AS122" s="67">
        <f t="shared" si="194"/>
        <v>35.5763854636149</v>
      </c>
      <c r="AT122" s="65">
        <f ca="1" t="shared" si="195"/>
        <v>1.3</v>
      </c>
      <c r="AU122" s="66">
        <f ca="1" t="shared" si="152"/>
        <v>929.5468</v>
      </c>
      <c r="AV122" s="66">
        <f ca="1" t="shared" si="153"/>
        <v>766.4109354534801</v>
      </c>
      <c r="AW122" s="66">
        <f ca="1" t="shared" si="154"/>
        <v>163.13586454651988</v>
      </c>
      <c r="AX122" s="63">
        <f ca="1" t="shared" si="155"/>
        <v>0</v>
      </c>
      <c r="AY122" s="67">
        <f ca="1" t="shared" si="196"/>
        <v>41.073139692647125</v>
      </c>
      <c r="AZ122" s="65">
        <f ca="1" t="shared" si="156"/>
        <v>0.15450569689419225</v>
      </c>
      <c r="BA122" s="68">
        <f ca="1" t="shared" si="197"/>
        <v>0.05671014010312292</v>
      </c>
      <c r="BB122" s="169">
        <f t="shared" si="157"/>
        <v>715.036</v>
      </c>
      <c r="BC122" s="169">
        <f t="shared" si="158"/>
        <v>715.036</v>
      </c>
      <c r="BD122" s="169">
        <v>10.796500000000002</v>
      </c>
      <c r="BE122" s="171">
        <f t="shared" si="159"/>
        <v>5.398250000000001</v>
      </c>
      <c r="BF122" s="182">
        <v>0</v>
      </c>
      <c r="BG122" s="182">
        <f t="shared" si="160"/>
        <v>0</v>
      </c>
      <c r="BH122" s="182">
        <f t="shared" si="161"/>
        <v>0</v>
      </c>
      <c r="BI122" s="169">
        <f t="shared" si="162"/>
        <v>0</v>
      </c>
      <c r="BJ122" s="171">
        <f t="shared" si="163"/>
        <v>720.4342499999999</v>
      </c>
      <c r="BK122" s="171">
        <f t="shared" si="164"/>
        <v>13.822525827873859</v>
      </c>
      <c r="BL122" s="171">
        <f t="shared" si="165"/>
        <v>734.2567758278738</v>
      </c>
      <c r="BM122" s="81">
        <f t="shared" si="166"/>
        <v>734.2567758278738</v>
      </c>
      <c r="BN122" s="63">
        <f t="shared" si="198"/>
        <v>715.036</v>
      </c>
      <c r="BO122" s="63">
        <f t="shared" si="167"/>
        <v>715.036</v>
      </c>
      <c r="BP122" s="63">
        <f t="shared" si="168"/>
        <v>0</v>
      </c>
      <c r="BQ122" s="63">
        <f t="shared" si="169"/>
        <v>19.22077582787381</v>
      </c>
      <c r="BR122" s="67">
        <f t="shared" si="170"/>
        <v>34.790963136607154</v>
      </c>
      <c r="BS122" s="69">
        <f ca="1" t="shared" si="199"/>
        <v>1.3</v>
      </c>
      <c r="BT122" s="66">
        <f ca="1" t="shared" si="171"/>
        <v>929.5468</v>
      </c>
      <c r="BU122" s="66">
        <f ca="1" t="shared" si="172"/>
        <v>734.2567758278738</v>
      </c>
      <c r="BV122" s="66">
        <f ca="1" t="shared" si="173"/>
        <v>195.2900241721262</v>
      </c>
      <c r="BW122" s="63">
        <f ca="1" t="shared" si="174"/>
        <v>0</v>
      </c>
      <c r="BX122" s="67">
        <f ca="1" t="shared" si="200"/>
        <v>40.95359648655652</v>
      </c>
      <c r="BY122" s="65">
        <f ca="1" t="shared" si="175"/>
        <v>0.17713316316515026</v>
      </c>
      <c r="BZ122" s="68">
        <f ca="1" t="shared" si="201"/>
        <v>0.053634589536459165</v>
      </c>
      <c r="CA122" s="81">
        <f t="shared" si="176"/>
        <v>715.036</v>
      </c>
      <c r="CB122" s="63">
        <f t="shared" si="177"/>
        <v>715.036</v>
      </c>
      <c r="CC122" s="67">
        <f t="shared" si="178"/>
        <v>35.90132553133049</v>
      </c>
      <c r="CD122" s="69">
        <f ca="1" t="shared" si="202"/>
        <v>1.3</v>
      </c>
      <c r="CE122" s="190">
        <f ca="1" t="shared" si="179"/>
        <v>929.5468</v>
      </c>
      <c r="CF122" s="70">
        <f ca="1" t="shared" si="180"/>
        <v>929.5468</v>
      </c>
      <c r="CG122" s="67">
        <f ca="1" t="shared" si="181"/>
        <v>39.30481757441425</v>
      </c>
      <c r="CH122" s="65">
        <f ca="1" t="shared" si="182"/>
        <v>0.09480129194989151</v>
      </c>
      <c r="CI122" s="65">
        <f ca="1" t="shared" si="203"/>
        <v>0.011215592394128837</v>
      </c>
      <c r="CJ122" s="68">
        <f ca="1" t="shared" si="183"/>
        <v>-0.040259685438945536</v>
      </c>
      <c r="CL122" s="97">
        <f ca="1" t="shared" si="204"/>
        <v>316502681.36586505</v>
      </c>
      <c r="CM122" s="97">
        <f ca="1" t="shared" si="205"/>
        <v>334451592.7691373</v>
      </c>
      <c r="CN122" s="97">
        <f ca="1" t="shared" si="206"/>
        <v>333478172.7681119</v>
      </c>
      <c r="CO122" s="97">
        <f ca="1" t="shared" si="184"/>
        <v>320052446.4317134</v>
      </c>
      <c r="CQ122" s="97">
        <f t="shared" si="207"/>
        <v>212647275.35137257</v>
      </c>
      <c r="CR122" s="97">
        <f t="shared" si="208"/>
        <v>222840352.08172533</v>
      </c>
      <c r="CS122" s="97">
        <f t="shared" si="209"/>
        <v>217920690.18796</v>
      </c>
      <c r="CT122" s="97">
        <f t="shared" si="185"/>
        <v>224875684.17495495</v>
      </c>
      <c r="CV122" s="97">
        <f ca="1" t="shared" si="210"/>
        <v>316502681.36586505</v>
      </c>
      <c r="CW122" s="97">
        <f ca="1" t="shared" si="186"/>
        <v>334451592.7691373</v>
      </c>
      <c r="CX122" s="97">
        <f ca="1" t="shared" si="187"/>
        <v>334451592.7691373</v>
      </c>
      <c r="CY122" s="97">
        <f ca="1" t="shared" si="188"/>
        <v>320052446.4317134</v>
      </c>
    </row>
    <row r="123" spans="2:103" ht="12.75">
      <c r="B123" s="14">
        <v>10360</v>
      </c>
      <c r="C123" s="15" t="s">
        <v>122</v>
      </c>
      <c r="D123" s="16">
        <f>RHWM!D110</f>
        <v>1</v>
      </c>
      <c r="E123" s="16">
        <f>RHWM!E110</f>
        <v>0</v>
      </c>
      <c r="F123" s="18">
        <f>RHWM!M110</f>
        <v>7.663</v>
      </c>
      <c r="G123" s="18">
        <f>RHWM!N110</f>
        <v>7.761</v>
      </c>
      <c r="H123" s="18">
        <f>RHWM!O110</f>
        <v>6.765</v>
      </c>
      <c r="I123" s="18">
        <v>0.898</v>
      </c>
      <c r="J123" s="18">
        <v>0.996</v>
      </c>
      <c r="K123" s="18">
        <v>0.898</v>
      </c>
      <c r="L123" s="18">
        <v>0.996</v>
      </c>
      <c r="M123" s="18">
        <v>0</v>
      </c>
      <c r="N123" s="18">
        <v>0</v>
      </c>
      <c r="O123" s="81">
        <f t="shared" si="130"/>
        <v>6.765</v>
      </c>
      <c r="P123" s="63">
        <f t="shared" si="131"/>
        <v>7.761</v>
      </c>
      <c r="Q123" s="63">
        <f t="shared" si="132"/>
        <v>6.765</v>
      </c>
      <c r="R123" s="63">
        <f t="shared" si="133"/>
        <v>0.9960000000000004</v>
      </c>
      <c r="S123" s="63">
        <f t="shared" si="134"/>
        <v>0</v>
      </c>
      <c r="T123" s="67">
        <f t="shared" si="189"/>
        <v>37.69268648555043</v>
      </c>
      <c r="U123" s="138">
        <f ca="1" t="shared" si="190"/>
        <v>0.9</v>
      </c>
      <c r="V123" s="66">
        <f ca="1" t="shared" si="191"/>
        <v>6.9849000000000006</v>
      </c>
      <c r="W123" s="66">
        <f ca="1" t="shared" si="135"/>
        <v>6.765</v>
      </c>
      <c r="X123" s="66">
        <f ca="1" t="shared" si="136"/>
        <v>0.21990000000000087</v>
      </c>
      <c r="Y123" s="63">
        <f ca="1" t="shared" si="137"/>
        <v>0</v>
      </c>
      <c r="Z123" s="67">
        <f ca="1" t="shared" si="192"/>
        <v>35.79715982181403</v>
      </c>
      <c r="AA123" s="68">
        <f ca="1" t="shared" si="193"/>
        <v>-0.05028897753050998</v>
      </c>
      <c r="AB123" s="169">
        <f t="shared" si="138"/>
        <v>6.765</v>
      </c>
      <c r="AC123" s="169">
        <f t="shared" si="139"/>
        <v>6.765</v>
      </c>
      <c r="AD123" s="169">
        <v>0</v>
      </c>
      <c r="AE123" s="171">
        <f t="shared" si="140"/>
        <v>0</v>
      </c>
      <c r="AF123" s="182">
        <v>0</v>
      </c>
      <c r="AG123" s="182">
        <f t="shared" si="141"/>
        <v>0</v>
      </c>
      <c r="AH123" s="182">
        <f t="shared" si="142"/>
        <v>0</v>
      </c>
      <c r="AI123" s="182">
        <v>0</v>
      </c>
      <c r="AJ123" s="171">
        <f t="shared" si="143"/>
        <v>0.4980000000000002</v>
      </c>
      <c r="AK123" s="171">
        <f t="shared" si="144"/>
        <v>7.263</v>
      </c>
      <c r="AL123" s="171">
        <f t="shared" si="145"/>
        <v>0.4635102598864879</v>
      </c>
      <c r="AM123" s="171">
        <f t="shared" si="146"/>
        <v>7.726510259886488</v>
      </c>
      <c r="AN123" s="81">
        <f t="shared" si="147"/>
        <v>7.726510259886488</v>
      </c>
      <c r="AO123" s="63">
        <f t="shared" si="148"/>
        <v>7.761</v>
      </c>
      <c r="AP123" s="63">
        <f t="shared" si="149"/>
        <v>7.726510259886488</v>
      </c>
      <c r="AQ123" s="63">
        <f t="shared" si="150"/>
        <v>0.03448974011351247</v>
      </c>
      <c r="AR123" s="63">
        <f t="shared" si="151"/>
        <v>0</v>
      </c>
      <c r="AS123" s="67">
        <f t="shared" si="194"/>
        <v>35.69878877596469</v>
      </c>
      <c r="AT123" s="65">
        <f ca="1" t="shared" si="195"/>
        <v>0.9</v>
      </c>
      <c r="AU123" s="66">
        <f ca="1" t="shared" si="152"/>
        <v>6.9849000000000006</v>
      </c>
      <c r="AV123" s="66">
        <f ca="1" t="shared" si="153"/>
        <v>6.9849000000000006</v>
      </c>
      <c r="AW123" s="66">
        <f ca="1" t="shared" si="154"/>
        <v>0</v>
      </c>
      <c r="AX123" s="63">
        <f ca="1" t="shared" si="155"/>
        <v>0.7416102598864871</v>
      </c>
      <c r="AY123" s="67">
        <f ca="1" t="shared" si="196"/>
        <v>36.38031310262951</v>
      </c>
      <c r="AZ123" s="65">
        <f ca="1" t="shared" si="156"/>
        <v>0.01909096498880869</v>
      </c>
      <c r="BA123" s="68">
        <f ca="1" t="shared" si="197"/>
        <v>0.016290490187439888</v>
      </c>
      <c r="BB123" s="169">
        <f t="shared" si="157"/>
        <v>6.765</v>
      </c>
      <c r="BC123" s="169">
        <f t="shared" si="158"/>
        <v>6.765</v>
      </c>
      <c r="BD123" s="169">
        <v>0</v>
      </c>
      <c r="BE123" s="171">
        <f t="shared" si="159"/>
        <v>0</v>
      </c>
      <c r="BF123" s="182">
        <v>0</v>
      </c>
      <c r="BG123" s="182">
        <f t="shared" si="160"/>
        <v>0</v>
      </c>
      <c r="BH123" s="182">
        <f t="shared" si="161"/>
        <v>0</v>
      </c>
      <c r="BI123" s="169">
        <f t="shared" si="162"/>
        <v>0.2490000000000001</v>
      </c>
      <c r="BJ123" s="171">
        <f t="shared" si="163"/>
        <v>7.013999999999999</v>
      </c>
      <c r="BK123" s="171">
        <f t="shared" si="164"/>
        <v>0.13457327460029456</v>
      </c>
      <c r="BL123" s="171">
        <f t="shared" si="165"/>
        <v>7.1485732746002935</v>
      </c>
      <c r="BM123" s="81">
        <f t="shared" si="166"/>
        <v>7.1485732746002935</v>
      </c>
      <c r="BN123" s="63">
        <f t="shared" si="198"/>
        <v>7.761</v>
      </c>
      <c r="BO123" s="63">
        <f t="shared" si="167"/>
        <v>7.1485732746002935</v>
      </c>
      <c r="BP123" s="63">
        <f t="shared" si="168"/>
        <v>0.6124267253997067</v>
      </c>
      <c r="BQ123" s="63">
        <f t="shared" si="169"/>
        <v>0</v>
      </c>
      <c r="BR123" s="67">
        <f t="shared" si="170"/>
        <v>37.02643012281708</v>
      </c>
      <c r="BS123" s="69">
        <f ca="1" t="shared" si="199"/>
        <v>0.9</v>
      </c>
      <c r="BT123" s="66">
        <f ca="1" t="shared" si="171"/>
        <v>6.9849000000000006</v>
      </c>
      <c r="BU123" s="66">
        <f ca="1" t="shared" si="172"/>
        <v>6.9849000000000006</v>
      </c>
      <c r="BV123" s="66">
        <f ca="1" t="shared" si="173"/>
        <v>0</v>
      </c>
      <c r="BW123" s="63">
        <f ca="1" t="shared" si="174"/>
        <v>0.1636732746002929</v>
      </c>
      <c r="BX123" s="67">
        <f ca="1" t="shared" si="200"/>
        <v>35.05800570624853</v>
      </c>
      <c r="BY123" s="65">
        <f ca="1" t="shared" si="175"/>
        <v>-0.05316268433222615</v>
      </c>
      <c r="BZ123" s="68">
        <f ca="1" t="shared" si="201"/>
        <v>-0.02064840113698274</v>
      </c>
      <c r="CA123" s="81">
        <f t="shared" si="176"/>
        <v>7.761</v>
      </c>
      <c r="CB123" s="63">
        <f t="shared" si="177"/>
        <v>7.761</v>
      </c>
      <c r="CC123" s="67">
        <f t="shared" si="178"/>
        <v>35.90132553133049</v>
      </c>
      <c r="CD123" s="69">
        <f ca="1" t="shared" si="202"/>
        <v>0.9</v>
      </c>
      <c r="CE123" s="190">
        <f ca="1" t="shared" si="179"/>
        <v>6.9849000000000006</v>
      </c>
      <c r="CF123" s="70">
        <f ca="1" t="shared" si="180"/>
        <v>6.9849000000000006</v>
      </c>
      <c r="CG123" s="67">
        <f ca="1" t="shared" si="181"/>
        <v>39.30481757441425</v>
      </c>
      <c r="CH123" s="65">
        <f ca="1" t="shared" si="182"/>
        <v>0.09480129194989151</v>
      </c>
      <c r="CI123" s="65">
        <f ca="1" t="shared" si="203"/>
        <v>0.09798704059372709</v>
      </c>
      <c r="CJ123" s="68">
        <f ca="1" t="shared" si="183"/>
        <v>0.12113672134546993</v>
      </c>
      <c r="CL123" s="97">
        <f ca="1" t="shared" si="204"/>
        <v>2190346.735161046</v>
      </c>
      <c r="CM123" s="97">
        <f ca="1" t="shared" si="205"/>
        <v>2226028.557157278</v>
      </c>
      <c r="CN123" s="97">
        <f ca="1" t="shared" si="206"/>
        <v>2145119.57714436</v>
      </c>
      <c r="CO123" s="97">
        <f ca="1" t="shared" si="184"/>
        <v>2404972.329613609</v>
      </c>
      <c r="CQ123" s="97">
        <f t="shared" si="207"/>
        <v>2562588.552773766</v>
      </c>
      <c r="CR123" s="97">
        <f t="shared" si="208"/>
        <v>2427030.7052866947</v>
      </c>
      <c r="CS123" s="97">
        <f t="shared" si="209"/>
        <v>2517292.2078446867</v>
      </c>
      <c r="CT123" s="97">
        <f t="shared" si="185"/>
        <v>2440800.442050226</v>
      </c>
      <c r="CV123" s="97">
        <f ca="1" t="shared" si="210"/>
        <v>2190346.735161046</v>
      </c>
      <c r="CW123" s="97">
        <f ca="1" t="shared" si="186"/>
        <v>2226028.557157278</v>
      </c>
      <c r="CX123" s="97">
        <f ca="1" t="shared" si="187"/>
        <v>2226028.557157278</v>
      </c>
      <c r="CY123" s="97">
        <f ca="1" t="shared" si="188"/>
        <v>2404972.329613609</v>
      </c>
    </row>
    <row r="124" spans="2:103" ht="12.75">
      <c r="B124" s="14">
        <v>10363</v>
      </c>
      <c r="C124" s="15" t="s">
        <v>123</v>
      </c>
      <c r="D124" s="16">
        <f>RHWM!D111</f>
        <v>1</v>
      </c>
      <c r="E124" s="16">
        <f>RHWM!E111</f>
        <v>0</v>
      </c>
      <c r="F124" s="18">
        <f>RHWM!M111</f>
        <v>91.05</v>
      </c>
      <c r="G124" s="18">
        <f>RHWM!N111</f>
        <v>91.235</v>
      </c>
      <c r="H124" s="18">
        <f>RHWM!O111</f>
        <v>100.706</v>
      </c>
      <c r="I124" s="18">
        <v>0</v>
      </c>
      <c r="J124" s="18">
        <v>0</v>
      </c>
      <c r="K124" s="18">
        <v>0</v>
      </c>
      <c r="L124" s="18">
        <v>0</v>
      </c>
      <c r="M124" s="18">
        <v>0</v>
      </c>
      <c r="N124" s="18">
        <v>0</v>
      </c>
      <c r="O124" s="81">
        <f t="shared" si="130"/>
        <v>100.706</v>
      </c>
      <c r="P124" s="63">
        <f t="shared" si="131"/>
        <v>91.235</v>
      </c>
      <c r="Q124" s="63">
        <f t="shared" si="132"/>
        <v>91.235</v>
      </c>
      <c r="R124" s="63">
        <f t="shared" si="133"/>
        <v>0</v>
      </c>
      <c r="S124" s="63">
        <f t="shared" si="134"/>
        <v>9.471000000000004</v>
      </c>
      <c r="T124" s="67">
        <f t="shared" si="189"/>
        <v>33.949064274110405</v>
      </c>
      <c r="U124" s="138">
        <f ca="1" t="shared" si="190"/>
        <v>0.93</v>
      </c>
      <c r="V124" s="66">
        <f ca="1" t="shared" si="191"/>
        <v>84.84855</v>
      </c>
      <c r="W124" s="66">
        <f ca="1" t="shared" si="135"/>
        <v>84.84855</v>
      </c>
      <c r="X124" s="66">
        <f ca="1" t="shared" si="136"/>
        <v>0</v>
      </c>
      <c r="Y124" s="63">
        <f ca="1" t="shared" si="137"/>
        <v>15.85745</v>
      </c>
      <c r="Z124" s="67">
        <f ca="1" t="shared" si="192"/>
        <v>34.90901605903751</v>
      </c>
      <c r="AA124" s="68">
        <f ca="1" t="shared" si="193"/>
        <v>0.028276236928838294</v>
      </c>
      <c r="AB124" s="169">
        <f t="shared" si="138"/>
        <v>91.235</v>
      </c>
      <c r="AC124" s="169">
        <f t="shared" si="139"/>
        <v>91.235</v>
      </c>
      <c r="AD124" s="169">
        <v>0.1845</v>
      </c>
      <c r="AE124" s="171">
        <f t="shared" si="140"/>
        <v>0.09225</v>
      </c>
      <c r="AF124" s="182">
        <v>0</v>
      </c>
      <c r="AG124" s="182">
        <f t="shared" si="141"/>
        <v>0</v>
      </c>
      <c r="AH124" s="182">
        <f t="shared" si="142"/>
        <v>0</v>
      </c>
      <c r="AI124" s="182">
        <v>0</v>
      </c>
      <c r="AJ124" s="171">
        <f t="shared" si="143"/>
        <v>0</v>
      </c>
      <c r="AK124" s="171">
        <f t="shared" si="144"/>
        <v>91.32725</v>
      </c>
      <c r="AL124" s="171">
        <f t="shared" si="145"/>
        <v>5.828324023436356</v>
      </c>
      <c r="AM124" s="171">
        <f t="shared" si="146"/>
        <v>97.15557402343636</v>
      </c>
      <c r="AN124" s="81">
        <f t="shared" si="147"/>
        <v>97.15557402343636</v>
      </c>
      <c r="AO124" s="63">
        <f t="shared" si="148"/>
        <v>91.235</v>
      </c>
      <c r="AP124" s="63">
        <f t="shared" si="149"/>
        <v>91.235</v>
      </c>
      <c r="AQ124" s="63">
        <f t="shared" si="150"/>
        <v>0</v>
      </c>
      <c r="AR124" s="63">
        <f t="shared" si="151"/>
        <v>5.920574023436359</v>
      </c>
      <c r="AS124" s="67">
        <f t="shared" si="194"/>
        <v>35.5763854636149</v>
      </c>
      <c r="AT124" s="65">
        <f ca="1" t="shared" si="195"/>
        <v>0.93</v>
      </c>
      <c r="AU124" s="66">
        <f ca="1" t="shared" si="152"/>
        <v>84.84855</v>
      </c>
      <c r="AV124" s="66">
        <f ca="1" t="shared" si="153"/>
        <v>84.84855</v>
      </c>
      <c r="AW124" s="66">
        <f ca="1" t="shared" si="154"/>
        <v>0</v>
      </c>
      <c r="AX124" s="63">
        <f ca="1" t="shared" si="155"/>
        <v>12.307024023436355</v>
      </c>
      <c r="AY124" s="67">
        <f ca="1" t="shared" si="196"/>
        <v>36.38031310262951</v>
      </c>
      <c r="AZ124" s="65">
        <f ca="1" t="shared" si="156"/>
        <v>0.0225972264618286</v>
      </c>
      <c r="BA124" s="68">
        <f ca="1" t="shared" si="197"/>
        <v>0.0421466202629075</v>
      </c>
      <c r="BB124" s="169">
        <f t="shared" si="157"/>
        <v>91.235</v>
      </c>
      <c r="BC124" s="169">
        <f t="shared" si="158"/>
        <v>91.235</v>
      </c>
      <c r="BD124" s="169">
        <v>0.1845</v>
      </c>
      <c r="BE124" s="171">
        <f t="shared" si="159"/>
        <v>0.09225</v>
      </c>
      <c r="BF124" s="182">
        <v>0</v>
      </c>
      <c r="BG124" s="182">
        <f t="shared" si="160"/>
        <v>0</v>
      </c>
      <c r="BH124" s="182">
        <f t="shared" si="161"/>
        <v>0</v>
      </c>
      <c r="BI124" s="169">
        <f t="shared" si="162"/>
        <v>0</v>
      </c>
      <c r="BJ124" s="171">
        <f t="shared" si="163"/>
        <v>91.32725</v>
      </c>
      <c r="BK124" s="171">
        <f t="shared" si="164"/>
        <v>1.7522393916081769</v>
      </c>
      <c r="BL124" s="171">
        <f t="shared" si="165"/>
        <v>93.07948939160818</v>
      </c>
      <c r="BM124" s="81">
        <f t="shared" si="166"/>
        <v>93.07948939160818</v>
      </c>
      <c r="BN124" s="63">
        <f t="shared" si="198"/>
        <v>91.235</v>
      </c>
      <c r="BO124" s="63">
        <f t="shared" si="167"/>
        <v>91.235</v>
      </c>
      <c r="BP124" s="63">
        <f t="shared" si="168"/>
        <v>0</v>
      </c>
      <c r="BQ124" s="63">
        <f t="shared" si="169"/>
        <v>1.8444893916081782</v>
      </c>
      <c r="BR124" s="67">
        <f t="shared" si="170"/>
        <v>34.790963136607154</v>
      </c>
      <c r="BS124" s="69">
        <f ca="1" t="shared" si="199"/>
        <v>0.93</v>
      </c>
      <c r="BT124" s="66">
        <f ca="1" t="shared" si="171"/>
        <v>84.84855</v>
      </c>
      <c r="BU124" s="66">
        <f ca="1" t="shared" si="172"/>
        <v>84.84855</v>
      </c>
      <c r="BV124" s="66">
        <f ca="1" t="shared" si="173"/>
        <v>0</v>
      </c>
      <c r="BW124" s="63">
        <f ca="1" t="shared" si="174"/>
        <v>8.230939391608175</v>
      </c>
      <c r="BX124" s="67">
        <f ca="1" t="shared" si="200"/>
        <v>35.05800570624853</v>
      </c>
      <c r="BY124" s="65">
        <f ca="1" t="shared" si="175"/>
        <v>0.007675630266193778</v>
      </c>
      <c r="BZ124" s="68">
        <f ca="1" t="shared" si="201"/>
        <v>0.0042679417534727815</v>
      </c>
      <c r="CA124" s="81">
        <f t="shared" si="176"/>
        <v>91.235</v>
      </c>
      <c r="CB124" s="63">
        <f t="shared" si="177"/>
        <v>91.235</v>
      </c>
      <c r="CC124" s="67">
        <f t="shared" si="178"/>
        <v>35.90132553133049</v>
      </c>
      <c r="CD124" s="69">
        <f ca="1" t="shared" si="202"/>
        <v>0.93</v>
      </c>
      <c r="CE124" s="190">
        <f ca="1" t="shared" si="179"/>
        <v>84.84855</v>
      </c>
      <c r="CF124" s="70">
        <f ca="1" t="shared" si="180"/>
        <v>84.84855</v>
      </c>
      <c r="CG124" s="67">
        <f ca="1" t="shared" si="181"/>
        <v>39.30481757441425</v>
      </c>
      <c r="CH124" s="65">
        <f ca="1" t="shared" si="182"/>
        <v>0.09480129194989151</v>
      </c>
      <c r="CI124" s="65">
        <f ca="1" t="shared" si="203"/>
        <v>0.1259216675698518</v>
      </c>
      <c r="CJ124" s="68">
        <f ca="1" t="shared" si="183"/>
        <v>0.12113672134546993</v>
      </c>
      <c r="CL124" s="97">
        <f ca="1" t="shared" si="204"/>
        <v>25946939.496135775</v>
      </c>
      <c r="CM124" s="97">
        <f ca="1" t="shared" si="205"/>
        <v>27040515.30206405</v>
      </c>
      <c r="CN124" s="97">
        <f ca="1" t="shared" si="206"/>
        <v>26057679.522586163</v>
      </c>
      <c r="CO124" s="97">
        <f ca="1" t="shared" si="184"/>
        <v>29214221.385823242</v>
      </c>
      <c r="CQ124" s="97">
        <f t="shared" si="207"/>
        <v>27132723.620464534</v>
      </c>
      <c r="CR124" s="97">
        <f t="shared" si="208"/>
        <v>28433308.98329065</v>
      </c>
      <c r="CS124" s="97">
        <f t="shared" si="209"/>
        <v>27805584.85069078</v>
      </c>
      <c r="CT124" s="97">
        <f t="shared" si="185"/>
        <v>28693007.129294213</v>
      </c>
      <c r="CV124" s="97">
        <f ca="1" t="shared" si="210"/>
        <v>25946939.496135775</v>
      </c>
      <c r="CW124" s="97">
        <f ca="1" t="shared" si="186"/>
        <v>27040515.302064046</v>
      </c>
      <c r="CX124" s="97">
        <f ca="1" t="shared" si="187"/>
        <v>27040515.302064046</v>
      </c>
      <c r="CY124" s="97">
        <f ca="1" t="shared" si="188"/>
        <v>29214221.385823242</v>
      </c>
    </row>
    <row r="125" spans="2:103" ht="12.75">
      <c r="B125" s="14">
        <v>10369</v>
      </c>
      <c r="C125" s="15" t="s">
        <v>124</v>
      </c>
      <c r="D125" s="16">
        <f>RHWM!D112</f>
        <v>1</v>
      </c>
      <c r="E125" s="16">
        <f>RHWM!E112</f>
        <v>0</v>
      </c>
      <c r="F125" s="18">
        <f>RHWM!M112</f>
        <v>18.377</v>
      </c>
      <c r="G125" s="18">
        <f>RHWM!N112</f>
        <v>18.394</v>
      </c>
      <c r="H125" s="18">
        <f>RHWM!O112</f>
        <v>16.432</v>
      </c>
      <c r="I125" s="18">
        <v>1.945</v>
      </c>
      <c r="J125" s="18">
        <v>1.962</v>
      </c>
      <c r="K125" s="18">
        <v>0</v>
      </c>
      <c r="L125" s="18">
        <v>0</v>
      </c>
      <c r="M125" s="18">
        <v>1.945</v>
      </c>
      <c r="N125" s="18">
        <v>1.962</v>
      </c>
      <c r="O125" s="81">
        <f t="shared" si="130"/>
        <v>16.432</v>
      </c>
      <c r="P125" s="63">
        <f t="shared" si="131"/>
        <v>18.394</v>
      </c>
      <c r="Q125" s="63">
        <f t="shared" si="132"/>
        <v>16.432</v>
      </c>
      <c r="R125" s="63">
        <f t="shared" si="133"/>
        <v>1.9619999999999997</v>
      </c>
      <c r="S125" s="63">
        <f t="shared" si="134"/>
        <v>0</v>
      </c>
      <c r="T125" s="67">
        <f t="shared" si="189"/>
        <v>37.0605884610298</v>
      </c>
      <c r="U125" s="138">
        <f ca="1" t="shared" si="190"/>
        <v>1.05</v>
      </c>
      <c r="V125" s="66">
        <f ca="1" t="shared" si="191"/>
        <v>19.3137</v>
      </c>
      <c r="W125" s="66">
        <f ca="1" t="shared" si="135"/>
        <v>16.432</v>
      </c>
      <c r="X125" s="66">
        <f ca="1" t="shared" si="136"/>
        <v>2.881700000000002</v>
      </c>
      <c r="Y125" s="63">
        <f ca="1" t="shared" si="137"/>
        <v>0</v>
      </c>
      <c r="Z125" s="67">
        <f ca="1" t="shared" si="192"/>
        <v>39.11823502912981</v>
      </c>
      <c r="AA125" s="68">
        <f ca="1" t="shared" si="193"/>
        <v>0.05552115207948427</v>
      </c>
      <c r="AB125" s="169">
        <f t="shared" si="138"/>
        <v>16.432</v>
      </c>
      <c r="AC125" s="169">
        <f t="shared" si="139"/>
        <v>16.432</v>
      </c>
      <c r="AD125" s="169">
        <v>0</v>
      </c>
      <c r="AE125" s="171">
        <f t="shared" si="140"/>
        <v>0</v>
      </c>
      <c r="AF125" s="182">
        <v>0</v>
      </c>
      <c r="AG125" s="182">
        <f t="shared" si="141"/>
        <v>0</v>
      </c>
      <c r="AH125" s="182">
        <f t="shared" si="142"/>
        <v>0</v>
      </c>
      <c r="AI125" s="182">
        <v>0</v>
      </c>
      <c r="AJ125" s="171">
        <f t="shared" si="143"/>
        <v>0.9809999999999999</v>
      </c>
      <c r="AK125" s="171">
        <f t="shared" si="144"/>
        <v>17.412999999999997</v>
      </c>
      <c r="AL125" s="171">
        <f t="shared" si="145"/>
        <v>1.1112631358121179</v>
      </c>
      <c r="AM125" s="171">
        <f t="shared" si="146"/>
        <v>18.524263135812113</v>
      </c>
      <c r="AN125" s="81">
        <f t="shared" si="147"/>
        <v>18.524263135812113</v>
      </c>
      <c r="AO125" s="63">
        <f t="shared" si="148"/>
        <v>18.394</v>
      </c>
      <c r="AP125" s="63">
        <f t="shared" si="149"/>
        <v>18.394</v>
      </c>
      <c r="AQ125" s="63">
        <f t="shared" si="150"/>
        <v>0</v>
      </c>
      <c r="AR125" s="63">
        <f t="shared" si="151"/>
        <v>0.13026313581211468</v>
      </c>
      <c r="AS125" s="67">
        <f t="shared" si="194"/>
        <v>35.5763854636149</v>
      </c>
      <c r="AT125" s="65">
        <f ca="1" t="shared" si="195"/>
        <v>1.05</v>
      </c>
      <c r="AU125" s="66">
        <f ca="1" t="shared" si="152"/>
        <v>19.3137</v>
      </c>
      <c r="AV125" s="66">
        <f ca="1" t="shared" si="153"/>
        <v>18.524263135812113</v>
      </c>
      <c r="AW125" s="66">
        <f ca="1" t="shared" si="154"/>
        <v>0.7894368641878877</v>
      </c>
      <c r="AX125" s="63">
        <f ca="1" t="shared" si="155"/>
        <v>0</v>
      </c>
      <c r="AY125" s="67">
        <f ca="1" t="shared" si="196"/>
        <v>37.47328309665583</v>
      </c>
      <c r="AZ125" s="65">
        <f ca="1" t="shared" si="156"/>
        <v>0.053319009458702604</v>
      </c>
      <c r="BA125" s="68">
        <f ca="1" t="shared" si="197"/>
        <v>-0.04205077072748953</v>
      </c>
      <c r="BB125" s="169">
        <f t="shared" si="157"/>
        <v>16.432</v>
      </c>
      <c r="BC125" s="169">
        <f t="shared" si="158"/>
        <v>16.432</v>
      </c>
      <c r="BD125" s="169">
        <v>0</v>
      </c>
      <c r="BE125" s="171">
        <f t="shared" si="159"/>
        <v>0</v>
      </c>
      <c r="BF125" s="182">
        <v>0</v>
      </c>
      <c r="BG125" s="182">
        <f t="shared" si="160"/>
        <v>0</v>
      </c>
      <c r="BH125" s="182">
        <f t="shared" si="161"/>
        <v>0</v>
      </c>
      <c r="BI125" s="169">
        <f t="shared" si="162"/>
        <v>0.49049999999999994</v>
      </c>
      <c r="BJ125" s="171">
        <f t="shared" si="163"/>
        <v>16.9225</v>
      </c>
      <c r="BK125" s="171">
        <f t="shared" si="164"/>
        <v>0.3246815282896328</v>
      </c>
      <c r="BL125" s="171">
        <f t="shared" si="165"/>
        <v>17.247181528289634</v>
      </c>
      <c r="BM125" s="81">
        <f t="shared" si="166"/>
        <v>17.247181528289634</v>
      </c>
      <c r="BN125" s="63">
        <f t="shared" si="198"/>
        <v>18.394</v>
      </c>
      <c r="BO125" s="63">
        <f t="shared" si="167"/>
        <v>17.247181528289634</v>
      </c>
      <c r="BP125" s="63">
        <f t="shared" si="168"/>
        <v>1.1468184717103647</v>
      </c>
      <c r="BQ125" s="63">
        <f t="shared" si="169"/>
        <v>0</v>
      </c>
      <c r="BR125" s="67">
        <f t="shared" si="170"/>
        <v>36.55720553960284</v>
      </c>
      <c r="BS125" s="69">
        <f ca="1" t="shared" si="199"/>
        <v>1.05</v>
      </c>
      <c r="BT125" s="66">
        <f ca="1" t="shared" si="171"/>
        <v>19.3137</v>
      </c>
      <c r="BU125" s="66">
        <f ca="1" t="shared" si="172"/>
        <v>17.247181528289634</v>
      </c>
      <c r="BV125" s="66">
        <f ca="1" t="shared" si="173"/>
        <v>2.066518471710367</v>
      </c>
      <c r="BW125" s="63">
        <f ca="1" t="shared" si="174"/>
        <v>0</v>
      </c>
      <c r="BX125" s="67">
        <f ca="1" t="shared" si="200"/>
        <v>38.060570184368636</v>
      </c>
      <c r="BY125" s="65">
        <f ca="1" t="shared" si="175"/>
        <v>0.04112362043475071</v>
      </c>
      <c r="BZ125" s="68">
        <f ca="1" t="shared" si="201"/>
        <v>-0.027037642265137385</v>
      </c>
      <c r="CA125" s="81">
        <f t="shared" si="176"/>
        <v>18.394</v>
      </c>
      <c r="CB125" s="63">
        <f t="shared" si="177"/>
        <v>18.394</v>
      </c>
      <c r="CC125" s="67">
        <f t="shared" si="178"/>
        <v>35.90132553133049</v>
      </c>
      <c r="CD125" s="69">
        <f ca="1" t="shared" si="202"/>
        <v>1.05</v>
      </c>
      <c r="CE125" s="190">
        <f ca="1" t="shared" si="179"/>
        <v>19.3137</v>
      </c>
      <c r="CF125" s="70">
        <f ca="1" t="shared" si="180"/>
        <v>19.3137</v>
      </c>
      <c r="CG125" s="67">
        <f ca="1" t="shared" si="181"/>
        <v>39.30481757441425</v>
      </c>
      <c r="CH125" s="65">
        <f ca="1" t="shared" si="182"/>
        <v>0.09480129194989151</v>
      </c>
      <c r="CI125" s="65">
        <f ca="1" t="shared" si="203"/>
        <v>0.004769707660519318</v>
      </c>
      <c r="CJ125" s="68">
        <f ca="1" t="shared" si="183"/>
        <v>0.03269124408852453</v>
      </c>
      <c r="CL125" s="97">
        <f ca="1" t="shared" si="204"/>
        <v>6618336.417527235</v>
      </c>
      <c r="CM125" s="97">
        <f ca="1" t="shared" si="205"/>
        <v>6340030.270236403</v>
      </c>
      <c r="CN125" s="97">
        <f ca="1" t="shared" si="206"/>
        <v>6439392.205079804</v>
      </c>
      <c r="CO125" s="97">
        <f ca="1" t="shared" si="184"/>
        <v>6649903.94743781</v>
      </c>
      <c r="CQ125" s="97">
        <f t="shared" si="207"/>
        <v>5971625.985973115</v>
      </c>
      <c r="CR125" s="97">
        <f t="shared" si="208"/>
        <v>5732474.219747335</v>
      </c>
      <c r="CS125" s="97">
        <f t="shared" si="209"/>
        <v>5890515.170972183</v>
      </c>
      <c r="CT125" s="97">
        <f t="shared" si="185"/>
        <v>5784832.280772046</v>
      </c>
      <c r="CV125" s="97">
        <f ca="1" t="shared" si="210"/>
        <v>6618336.417527236</v>
      </c>
      <c r="CW125" s="97">
        <f ca="1" t="shared" si="186"/>
        <v>6340030.270236404</v>
      </c>
      <c r="CX125" s="97">
        <f ca="1" t="shared" si="187"/>
        <v>6340030.270236404</v>
      </c>
      <c r="CY125" s="97">
        <f ca="1" t="shared" si="188"/>
        <v>6649903.94743781</v>
      </c>
    </row>
    <row r="126" spans="2:103" ht="12.75">
      <c r="B126" s="14">
        <v>10370</v>
      </c>
      <c r="C126" s="15" t="s">
        <v>125</v>
      </c>
      <c r="D126" s="16">
        <f>RHWM!D113</f>
        <v>1</v>
      </c>
      <c r="E126" s="16">
        <f>RHWM!E113</f>
        <v>0</v>
      </c>
      <c r="F126" s="18">
        <f>RHWM!M113</f>
        <v>368.828</v>
      </c>
      <c r="G126" s="18">
        <f>RHWM!N113</f>
        <v>367.225</v>
      </c>
      <c r="H126" s="18">
        <f>RHWM!O113</f>
        <v>402.39</v>
      </c>
      <c r="I126" s="18">
        <v>0</v>
      </c>
      <c r="J126" s="18">
        <v>0</v>
      </c>
      <c r="K126" s="18">
        <v>0</v>
      </c>
      <c r="L126" s="18">
        <v>0</v>
      </c>
      <c r="M126" s="18">
        <v>0</v>
      </c>
      <c r="N126" s="18">
        <v>0</v>
      </c>
      <c r="O126" s="81">
        <f t="shared" si="130"/>
        <v>402.39</v>
      </c>
      <c r="P126" s="63">
        <f t="shared" si="131"/>
        <v>367.225</v>
      </c>
      <c r="Q126" s="63">
        <f t="shared" si="132"/>
        <v>367.225</v>
      </c>
      <c r="R126" s="63">
        <f t="shared" si="133"/>
        <v>0</v>
      </c>
      <c r="S126" s="63">
        <f t="shared" si="134"/>
        <v>35.164999999999964</v>
      </c>
      <c r="T126" s="67">
        <f t="shared" si="189"/>
        <v>33.949064274110405</v>
      </c>
      <c r="U126" s="138">
        <f ca="1" t="shared" si="190"/>
        <v>1.12</v>
      </c>
      <c r="V126" s="66">
        <f ca="1" t="shared" si="191"/>
        <v>411.2920000000001</v>
      </c>
      <c r="W126" s="66">
        <f ca="1" t="shared" si="135"/>
        <v>402.39</v>
      </c>
      <c r="X126" s="66">
        <f ca="1" t="shared" si="136"/>
        <v>8.9020000000001</v>
      </c>
      <c r="Y126" s="63">
        <f ca="1" t="shared" si="137"/>
        <v>0</v>
      </c>
      <c r="Z126" s="67">
        <f ca="1" t="shared" si="192"/>
        <v>35.51961431779881</v>
      </c>
      <c r="AA126" s="68">
        <f ca="1" t="shared" si="193"/>
        <v>0.04626195382021492</v>
      </c>
      <c r="AB126" s="169">
        <f t="shared" si="138"/>
        <v>367.225</v>
      </c>
      <c r="AC126" s="169">
        <f t="shared" si="139"/>
        <v>367.225</v>
      </c>
      <c r="AD126" s="169">
        <v>36.0185</v>
      </c>
      <c r="AE126" s="171">
        <f t="shared" si="140"/>
        <v>18.00925</v>
      </c>
      <c r="AF126" s="182">
        <v>54.04</v>
      </c>
      <c r="AG126" s="182">
        <f t="shared" si="141"/>
        <v>0</v>
      </c>
      <c r="AH126" s="182">
        <f t="shared" si="142"/>
        <v>0</v>
      </c>
      <c r="AI126" s="182">
        <v>0</v>
      </c>
      <c r="AJ126" s="171">
        <f t="shared" si="143"/>
        <v>0</v>
      </c>
      <c r="AK126" s="171">
        <f t="shared" si="144"/>
        <v>385.23425000000003</v>
      </c>
      <c r="AL126" s="171">
        <f t="shared" si="145"/>
        <v>24.5848860436013</v>
      </c>
      <c r="AM126" s="171">
        <f t="shared" si="146"/>
        <v>409.81913604360136</v>
      </c>
      <c r="AN126" s="81">
        <f t="shared" si="147"/>
        <v>409.81913604360136</v>
      </c>
      <c r="AO126" s="63">
        <f t="shared" si="148"/>
        <v>367.225</v>
      </c>
      <c r="AP126" s="63">
        <f t="shared" si="149"/>
        <v>367.225</v>
      </c>
      <c r="AQ126" s="63">
        <f t="shared" si="150"/>
        <v>0</v>
      </c>
      <c r="AR126" s="63">
        <f t="shared" si="151"/>
        <v>42.59413604360134</v>
      </c>
      <c r="AS126" s="67">
        <f t="shared" si="194"/>
        <v>35.5763854636149</v>
      </c>
      <c r="AT126" s="65">
        <f ca="1" t="shared" si="195"/>
        <v>1.12</v>
      </c>
      <c r="AU126" s="66">
        <f ca="1" t="shared" si="152"/>
        <v>411.2920000000001</v>
      </c>
      <c r="AV126" s="66">
        <f ca="1" t="shared" si="153"/>
        <v>409.81913604360136</v>
      </c>
      <c r="AW126" s="66">
        <f ca="1" t="shared" si="154"/>
        <v>1.4728639563987258</v>
      </c>
      <c r="AX126" s="63">
        <f ca="1" t="shared" si="155"/>
        <v>0</v>
      </c>
      <c r="AY126" s="67">
        <f ca="1" t="shared" si="196"/>
        <v>36.476069696573774</v>
      </c>
      <c r="AZ126" s="65">
        <f ca="1" t="shared" si="156"/>
        <v>0.02528880382969234</v>
      </c>
      <c r="BA126" s="68">
        <f ca="1" t="shared" si="197"/>
        <v>0.02692752714647817</v>
      </c>
      <c r="BB126" s="169">
        <f t="shared" si="157"/>
        <v>367.225</v>
      </c>
      <c r="BC126" s="169">
        <f t="shared" si="158"/>
        <v>367.225</v>
      </c>
      <c r="BD126" s="169">
        <v>36.0185</v>
      </c>
      <c r="BE126" s="171">
        <f t="shared" si="159"/>
        <v>18.00925</v>
      </c>
      <c r="BF126" s="182">
        <v>54.04</v>
      </c>
      <c r="BG126" s="182">
        <f t="shared" si="160"/>
        <v>0</v>
      </c>
      <c r="BH126" s="182">
        <f t="shared" si="161"/>
        <v>0</v>
      </c>
      <c r="BI126" s="169">
        <f t="shared" si="162"/>
        <v>0</v>
      </c>
      <c r="BJ126" s="171">
        <f t="shared" si="163"/>
        <v>385.23425000000003</v>
      </c>
      <c r="BK126" s="171">
        <f t="shared" si="164"/>
        <v>7.391250999527877</v>
      </c>
      <c r="BL126" s="171">
        <f t="shared" si="165"/>
        <v>392.6255009995279</v>
      </c>
      <c r="BM126" s="81">
        <f t="shared" si="166"/>
        <v>392.6255009995279</v>
      </c>
      <c r="BN126" s="63">
        <f t="shared" si="198"/>
        <v>367.225</v>
      </c>
      <c r="BO126" s="63">
        <f t="shared" si="167"/>
        <v>367.225</v>
      </c>
      <c r="BP126" s="63">
        <f t="shared" si="168"/>
        <v>0</v>
      </c>
      <c r="BQ126" s="63">
        <f t="shared" si="169"/>
        <v>25.40050099952788</v>
      </c>
      <c r="BR126" s="67">
        <f t="shared" si="170"/>
        <v>34.790963136607154</v>
      </c>
      <c r="BS126" s="69">
        <f ca="1" t="shared" si="199"/>
        <v>1.12</v>
      </c>
      <c r="BT126" s="66">
        <f ca="1" t="shared" si="171"/>
        <v>411.2920000000001</v>
      </c>
      <c r="BU126" s="66">
        <f ca="1" t="shared" si="172"/>
        <v>392.6255009995279</v>
      </c>
      <c r="BV126" s="66">
        <f ca="1" t="shared" si="173"/>
        <v>18.666499000472186</v>
      </c>
      <c r="BW126" s="63">
        <f ca="1" t="shared" si="174"/>
        <v>0</v>
      </c>
      <c r="BX126" s="67">
        <f ca="1" t="shared" si="200"/>
        <v>36.331600107393136</v>
      </c>
      <c r="BY126" s="65">
        <f ca="1" t="shared" si="175"/>
        <v>0.044282676646135055</v>
      </c>
      <c r="BZ126" s="68">
        <f ca="1" t="shared" si="201"/>
        <v>0.022860208512665015</v>
      </c>
      <c r="CA126" s="81">
        <f t="shared" si="176"/>
        <v>367.225</v>
      </c>
      <c r="CB126" s="63">
        <f t="shared" si="177"/>
        <v>367.225</v>
      </c>
      <c r="CC126" s="67">
        <f t="shared" si="178"/>
        <v>35.90132553133049</v>
      </c>
      <c r="CD126" s="69">
        <f ca="1" t="shared" si="202"/>
        <v>1.12</v>
      </c>
      <c r="CE126" s="190">
        <f ca="1" t="shared" si="179"/>
        <v>411.2920000000001</v>
      </c>
      <c r="CF126" s="70">
        <f ca="1" t="shared" si="180"/>
        <v>411.2920000000001</v>
      </c>
      <c r="CG126" s="67">
        <f ca="1" t="shared" si="181"/>
        <v>39.30481757441425</v>
      </c>
      <c r="CH126" s="65">
        <f ca="1" t="shared" si="182"/>
        <v>0.09480129194989151</v>
      </c>
      <c r="CI126" s="65">
        <f ca="1" t="shared" si="203"/>
        <v>0.10656656411718646</v>
      </c>
      <c r="CJ126" s="68">
        <f ca="1" t="shared" si="183"/>
        <v>0.0818355772449475</v>
      </c>
      <c r="CL126" s="97">
        <f ca="1" t="shared" si="204"/>
        <v>127974254.93708593</v>
      </c>
      <c r="CM126" s="97">
        <f ca="1" t="shared" si="205"/>
        <v>131420285.16095464</v>
      </c>
      <c r="CN126" s="97">
        <f ca="1" t="shared" si="206"/>
        <v>130899773.08920068</v>
      </c>
      <c r="CO126" s="97">
        <f ca="1" t="shared" si="184"/>
        <v>141612031.58118808</v>
      </c>
      <c r="CQ126" s="97">
        <f t="shared" si="207"/>
        <v>109210439.3218073</v>
      </c>
      <c r="CR126" s="97">
        <f t="shared" si="208"/>
        <v>114445354.21043359</v>
      </c>
      <c r="CS126" s="97">
        <f t="shared" si="209"/>
        <v>111918736.19548333</v>
      </c>
      <c r="CT126" s="97">
        <f t="shared" si="185"/>
        <v>115490650.98980728</v>
      </c>
      <c r="CV126" s="97">
        <f ca="1" t="shared" si="210"/>
        <v>127974254.93708594</v>
      </c>
      <c r="CW126" s="97">
        <f ca="1" t="shared" si="186"/>
        <v>131420285.16095464</v>
      </c>
      <c r="CX126" s="97">
        <f ca="1" t="shared" si="187"/>
        <v>131420285.16095464</v>
      </c>
      <c r="CY126" s="97">
        <f ca="1" t="shared" si="188"/>
        <v>141612031.58118805</v>
      </c>
    </row>
    <row r="127" spans="2:103" ht="12.75">
      <c r="B127" s="14">
        <v>10371</v>
      </c>
      <c r="C127" s="15" t="s">
        <v>126</v>
      </c>
      <c r="D127" s="16">
        <f>RHWM!D114</f>
        <v>1</v>
      </c>
      <c r="E127" s="16">
        <f>RHWM!E114</f>
        <v>0</v>
      </c>
      <c r="F127" s="18">
        <f>RHWM!M114</f>
        <v>11.535</v>
      </c>
      <c r="G127" s="18">
        <f>RHWM!N114</f>
        <v>11.568</v>
      </c>
      <c r="H127" s="18">
        <f>RHWM!O114</f>
        <v>11.032</v>
      </c>
      <c r="I127" s="18">
        <v>0.503</v>
      </c>
      <c r="J127" s="18">
        <v>0.536</v>
      </c>
      <c r="K127" s="18">
        <v>0.503</v>
      </c>
      <c r="L127" s="18">
        <v>0.536</v>
      </c>
      <c r="M127" s="18">
        <v>0</v>
      </c>
      <c r="N127" s="18">
        <v>0</v>
      </c>
      <c r="O127" s="81">
        <f t="shared" si="130"/>
        <v>11.032</v>
      </c>
      <c r="P127" s="63">
        <f t="shared" si="131"/>
        <v>11.568</v>
      </c>
      <c r="Q127" s="63">
        <f t="shared" si="132"/>
        <v>11.032</v>
      </c>
      <c r="R127" s="63">
        <f t="shared" si="133"/>
        <v>0.5359999999999996</v>
      </c>
      <c r="S127" s="63">
        <f t="shared" si="134"/>
        <v>0</v>
      </c>
      <c r="T127" s="67">
        <f t="shared" si="189"/>
        <v>35.30069130981898</v>
      </c>
      <c r="U127" s="138">
        <f ca="1" t="shared" si="190"/>
        <v>1.23</v>
      </c>
      <c r="V127" s="66">
        <f ca="1" t="shared" si="191"/>
        <v>14.228639999999999</v>
      </c>
      <c r="W127" s="66">
        <f ca="1" t="shared" si="135"/>
        <v>11.032</v>
      </c>
      <c r="X127" s="66">
        <f ca="1" t="shared" si="136"/>
        <v>3.1966399999999986</v>
      </c>
      <c r="Y127" s="63">
        <f ca="1" t="shared" si="137"/>
        <v>0</v>
      </c>
      <c r="Z127" s="67">
        <f ca="1" t="shared" si="192"/>
        <v>41.24696260242031</v>
      </c>
      <c r="AA127" s="68">
        <f ca="1" t="shared" si="193"/>
        <v>0.16844631286150924</v>
      </c>
      <c r="AB127" s="169">
        <f t="shared" si="138"/>
        <v>11.032</v>
      </c>
      <c r="AC127" s="169">
        <f t="shared" si="139"/>
        <v>11.032</v>
      </c>
      <c r="AD127" s="169">
        <v>0</v>
      </c>
      <c r="AE127" s="171">
        <f t="shared" si="140"/>
        <v>0</v>
      </c>
      <c r="AF127" s="182">
        <v>0</v>
      </c>
      <c r="AG127" s="182">
        <f t="shared" si="141"/>
        <v>0</v>
      </c>
      <c r="AH127" s="182">
        <f t="shared" si="142"/>
        <v>0</v>
      </c>
      <c r="AI127" s="182">
        <v>0</v>
      </c>
      <c r="AJ127" s="171">
        <f t="shared" si="143"/>
        <v>0.2679999999999998</v>
      </c>
      <c r="AK127" s="171">
        <f t="shared" si="144"/>
        <v>11.3</v>
      </c>
      <c r="AL127" s="171">
        <f t="shared" si="145"/>
        <v>0.7211435958580907</v>
      </c>
      <c r="AM127" s="171">
        <f t="shared" si="146"/>
        <v>12.021143595858092</v>
      </c>
      <c r="AN127" s="81">
        <f t="shared" si="147"/>
        <v>12.021143595858092</v>
      </c>
      <c r="AO127" s="63">
        <f t="shared" si="148"/>
        <v>11.568</v>
      </c>
      <c r="AP127" s="63">
        <f t="shared" si="149"/>
        <v>11.568</v>
      </c>
      <c r="AQ127" s="63">
        <f t="shared" si="150"/>
        <v>0</v>
      </c>
      <c r="AR127" s="63">
        <f t="shared" si="151"/>
        <v>0.4531435958580925</v>
      </c>
      <c r="AS127" s="67">
        <f t="shared" si="194"/>
        <v>35.5763854636149</v>
      </c>
      <c r="AT127" s="65">
        <f ca="1" t="shared" si="195"/>
        <v>1.23</v>
      </c>
      <c r="AU127" s="66">
        <f ca="1" t="shared" si="152"/>
        <v>14.228639999999999</v>
      </c>
      <c r="AV127" s="66">
        <f ca="1" t="shared" si="153"/>
        <v>12.021143595858092</v>
      </c>
      <c r="AW127" s="66">
        <f ca="1" t="shared" si="154"/>
        <v>2.2074964041419065</v>
      </c>
      <c r="AX127" s="63">
        <f ca="1" t="shared" si="155"/>
        <v>0</v>
      </c>
      <c r="AY127" s="67">
        <f ca="1" t="shared" si="196"/>
        <v>40.52883064709094</v>
      </c>
      <c r="AZ127" s="65">
        <f ca="1" t="shared" si="156"/>
        <v>0.13920596819879494</v>
      </c>
      <c r="BA127" s="68">
        <f ca="1" t="shared" si="197"/>
        <v>-0.017410541528874446</v>
      </c>
      <c r="BB127" s="169">
        <f t="shared" si="157"/>
        <v>11.032</v>
      </c>
      <c r="BC127" s="169">
        <f t="shared" si="158"/>
        <v>11.032</v>
      </c>
      <c r="BD127" s="169">
        <v>0</v>
      </c>
      <c r="BE127" s="171">
        <f t="shared" si="159"/>
        <v>0</v>
      </c>
      <c r="BF127" s="182">
        <v>0</v>
      </c>
      <c r="BG127" s="182">
        <f t="shared" si="160"/>
        <v>0</v>
      </c>
      <c r="BH127" s="182">
        <f t="shared" si="161"/>
        <v>0</v>
      </c>
      <c r="BI127" s="169">
        <f t="shared" si="162"/>
        <v>0.1339999999999999</v>
      </c>
      <c r="BJ127" s="171">
        <f t="shared" si="163"/>
        <v>11.166</v>
      </c>
      <c r="BK127" s="171">
        <f t="shared" si="164"/>
        <v>0.21423512748601214</v>
      </c>
      <c r="BL127" s="171">
        <f t="shared" si="165"/>
        <v>11.380235127486012</v>
      </c>
      <c r="BM127" s="81">
        <f t="shared" si="166"/>
        <v>11.380235127486012</v>
      </c>
      <c r="BN127" s="63">
        <f t="shared" si="198"/>
        <v>11.568</v>
      </c>
      <c r="BO127" s="63">
        <f t="shared" si="167"/>
        <v>11.380235127486012</v>
      </c>
      <c r="BP127" s="63">
        <f t="shared" si="168"/>
        <v>0.18776487251398777</v>
      </c>
      <c r="BQ127" s="63">
        <f t="shared" si="169"/>
        <v>0</v>
      </c>
      <c r="BR127" s="67">
        <f t="shared" si="170"/>
        <v>35.250783156930375</v>
      </c>
      <c r="BS127" s="69">
        <f ca="1" t="shared" si="199"/>
        <v>1.23</v>
      </c>
      <c r="BT127" s="66">
        <f ca="1" t="shared" si="171"/>
        <v>14.228639999999999</v>
      </c>
      <c r="BU127" s="66">
        <f ca="1" t="shared" si="172"/>
        <v>11.380235127486012</v>
      </c>
      <c r="BV127" s="66">
        <f ca="1" t="shared" si="173"/>
        <v>2.8484048725139868</v>
      </c>
      <c r="BW127" s="63">
        <f ca="1" t="shared" si="174"/>
        <v>0</v>
      </c>
      <c r="BX127" s="67">
        <f ca="1" t="shared" si="200"/>
        <v>40.675683943858125</v>
      </c>
      <c r="BY127" s="65">
        <f ca="1" t="shared" si="175"/>
        <v>0.15389447555752267</v>
      </c>
      <c r="BZ127" s="68">
        <f ca="1" t="shared" si="201"/>
        <v>-0.013850199445441413</v>
      </c>
      <c r="CA127" s="81">
        <f t="shared" si="176"/>
        <v>11.568</v>
      </c>
      <c r="CB127" s="63">
        <f t="shared" si="177"/>
        <v>11.568</v>
      </c>
      <c r="CC127" s="67">
        <f t="shared" si="178"/>
        <v>35.90132553133049</v>
      </c>
      <c r="CD127" s="69">
        <f ca="1" t="shared" si="202"/>
        <v>1.23</v>
      </c>
      <c r="CE127" s="190">
        <f ca="1" t="shared" si="179"/>
        <v>14.228639999999999</v>
      </c>
      <c r="CF127" s="70">
        <f ca="1" t="shared" si="180"/>
        <v>14.228639999999999</v>
      </c>
      <c r="CG127" s="67">
        <f ca="1" t="shared" si="181"/>
        <v>39.30481757441425</v>
      </c>
      <c r="CH127" s="65">
        <f ca="1" t="shared" si="182"/>
        <v>0.09480129194989151</v>
      </c>
      <c r="CI127" s="65">
        <f ca="1" t="shared" si="203"/>
        <v>-0.04708577081726972</v>
      </c>
      <c r="CJ127" s="68">
        <f ca="1" t="shared" si="183"/>
        <v>-0.0337023557203362</v>
      </c>
      <c r="CL127" s="97">
        <f ca="1" t="shared" si="204"/>
        <v>5141140.473998523</v>
      </c>
      <c r="CM127" s="97">
        <f ca="1" t="shared" si="205"/>
        <v>5051630.434270196</v>
      </c>
      <c r="CN127" s="97">
        <f ca="1" t="shared" si="206"/>
        <v>5069934.653056612</v>
      </c>
      <c r="CO127" s="97">
        <f ca="1" t="shared" si="184"/>
        <v>4899065.911900439</v>
      </c>
      <c r="CQ127" s="97">
        <f t="shared" si="207"/>
        <v>3577219.5583505975</v>
      </c>
      <c r="CR127" s="97">
        <f t="shared" si="208"/>
        <v>3605157.2128975308</v>
      </c>
      <c r="CS127" s="97">
        <f t="shared" si="209"/>
        <v>3572162.081740086</v>
      </c>
      <c r="CT127" s="97">
        <f t="shared" si="185"/>
        <v>3638085.2356187366</v>
      </c>
      <c r="CV127" s="97">
        <f ca="1" t="shared" si="210"/>
        <v>5141140.473998522</v>
      </c>
      <c r="CW127" s="97">
        <f ca="1" t="shared" si="186"/>
        <v>5051630.434270194</v>
      </c>
      <c r="CX127" s="97">
        <f ca="1" t="shared" si="187"/>
        <v>5051630.434270194</v>
      </c>
      <c r="CY127" s="97">
        <f ca="1" t="shared" si="188"/>
        <v>4899065.911900438</v>
      </c>
    </row>
    <row r="128" spans="2:103" ht="12.75">
      <c r="B128" s="14">
        <v>10376</v>
      </c>
      <c r="C128" s="15" t="s">
        <v>127</v>
      </c>
      <c r="D128" s="16">
        <f>RHWM!D115</f>
        <v>1</v>
      </c>
      <c r="E128" s="16">
        <f>RHWM!E115</f>
        <v>0</v>
      </c>
      <c r="F128" s="18">
        <f>RHWM!M115</f>
        <v>56.11</v>
      </c>
      <c r="G128" s="18">
        <f>RHWM!N115</f>
        <v>56.128</v>
      </c>
      <c r="H128" s="18">
        <f>RHWM!O115</f>
        <v>56.029</v>
      </c>
      <c r="I128" s="18">
        <v>0.081</v>
      </c>
      <c r="J128" s="18">
        <v>0.099</v>
      </c>
      <c r="K128" s="18">
        <v>0.081</v>
      </c>
      <c r="L128" s="18">
        <v>0.099</v>
      </c>
      <c r="M128" s="18">
        <v>0</v>
      </c>
      <c r="N128" s="18">
        <v>0</v>
      </c>
      <c r="O128" s="81">
        <f t="shared" si="130"/>
        <v>56.029</v>
      </c>
      <c r="P128" s="63">
        <f t="shared" si="131"/>
        <v>56.128</v>
      </c>
      <c r="Q128" s="63">
        <f t="shared" si="132"/>
        <v>56.029</v>
      </c>
      <c r="R128" s="63">
        <f t="shared" si="133"/>
        <v>0.09899999999999665</v>
      </c>
      <c r="S128" s="63">
        <f t="shared" si="134"/>
        <v>0</v>
      </c>
      <c r="T128" s="67">
        <f t="shared" si="189"/>
        <v>34.00051671561666</v>
      </c>
      <c r="U128" s="138">
        <f ca="1" t="shared" si="190"/>
        <v>1.24</v>
      </c>
      <c r="V128" s="66">
        <f ca="1" t="shared" si="191"/>
        <v>69.59872</v>
      </c>
      <c r="W128" s="66">
        <f ca="1" t="shared" si="135"/>
        <v>56.029</v>
      </c>
      <c r="X128" s="66">
        <f ca="1" t="shared" si="136"/>
        <v>13.569719999999997</v>
      </c>
      <c r="Y128" s="63">
        <f ca="1" t="shared" si="137"/>
        <v>0</v>
      </c>
      <c r="Z128" s="67">
        <f ca="1" t="shared" si="192"/>
        <v>40.409334929892566</v>
      </c>
      <c r="AA128" s="68">
        <f ca="1" t="shared" si="193"/>
        <v>0.18849178875367767</v>
      </c>
      <c r="AB128" s="169">
        <f t="shared" si="138"/>
        <v>56.029</v>
      </c>
      <c r="AC128" s="169">
        <f t="shared" si="139"/>
        <v>56.029</v>
      </c>
      <c r="AD128" s="169">
        <v>0.309</v>
      </c>
      <c r="AE128" s="171">
        <f t="shared" si="140"/>
        <v>0.1545</v>
      </c>
      <c r="AF128" s="182">
        <v>0</v>
      </c>
      <c r="AG128" s="182">
        <f t="shared" si="141"/>
        <v>0</v>
      </c>
      <c r="AH128" s="182">
        <f t="shared" si="142"/>
        <v>0</v>
      </c>
      <c r="AI128" s="182">
        <v>0.6973744292237443</v>
      </c>
      <c r="AJ128" s="171">
        <f t="shared" si="143"/>
        <v>0.04949999999999832</v>
      </c>
      <c r="AK128" s="171">
        <f t="shared" si="144"/>
        <v>56.233000000000004</v>
      </c>
      <c r="AL128" s="171">
        <f t="shared" si="145"/>
        <v>3.5886785686626568</v>
      </c>
      <c r="AM128" s="171">
        <f t="shared" si="146"/>
        <v>59.82167856866266</v>
      </c>
      <c r="AN128" s="81">
        <f t="shared" si="147"/>
        <v>59.82167856866266</v>
      </c>
      <c r="AO128" s="63">
        <f t="shared" si="148"/>
        <v>56.128</v>
      </c>
      <c r="AP128" s="63">
        <f t="shared" si="149"/>
        <v>56.128</v>
      </c>
      <c r="AQ128" s="63">
        <f t="shared" si="150"/>
        <v>0</v>
      </c>
      <c r="AR128" s="63">
        <f t="shared" si="151"/>
        <v>3.693678568662662</v>
      </c>
      <c r="AS128" s="67">
        <f t="shared" si="194"/>
        <v>35.5763854636149</v>
      </c>
      <c r="AT128" s="65">
        <f ca="1" t="shared" si="195"/>
        <v>1.24</v>
      </c>
      <c r="AU128" s="66">
        <f ca="1" t="shared" si="152"/>
        <v>69.59872</v>
      </c>
      <c r="AV128" s="66">
        <f ca="1" t="shared" si="153"/>
        <v>59.82167856866266</v>
      </c>
      <c r="AW128" s="66">
        <f ca="1" t="shared" si="154"/>
        <v>9.777041431337338</v>
      </c>
      <c r="AX128" s="63">
        <f ca="1" t="shared" si="155"/>
        <v>0</v>
      </c>
      <c r="AY128" s="67">
        <f ca="1" t="shared" si="196"/>
        <v>40.13663256736362</v>
      </c>
      <c r="AZ128" s="65">
        <f ca="1" t="shared" si="156"/>
        <v>0.12818185558543127</v>
      </c>
      <c r="BA128" s="68">
        <f ca="1" t="shared" si="197"/>
        <v>-0.006748499152536613</v>
      </c>
      <c r="BB128" s="169">
        <f t="shared" si="157"/>
        <v>56.029</v>
      </c>
      <c r="BC128" s="169">
        <f t="shared" si="158"/>
        <v>56.029</v>
      </c>
      <c r="BD128" s="169">
        <v>0.309</v>
      </c>
      <c r="BE128" s="171">
        <f t="shared" si="159"/>
        <v>0.1545</v>
      </c>
      <c r="BF128" s="182">
        <v>0</v>
      </c>
      <c r="BG128" s="182">
        <f t="shared" si="160"/>
        <v>0</v>
      </c>
      <c r="BH128" s="182">
        <f t="shared" si="161"/>
        <v>0</v>
      </c>
      <c r="BI128" s="169">
        <f t="shared" si="162"/>
        <v>0.02474999999999916</v>
      </c>
      <c r="BJ128" s="171">
        <f t="shared" si="163"/>
        <v>56.20825</v>
      </c>
      <c r="BK128" s="171">
        <f t="shared" si="164"/>
        <v>1.0784328859498156</v>
      </c>
      <c r="BL128" s="171">
        <f t="shared" si="165"/>
        <v>57.286682885949816</v>
      </c>
      <c r="BM128" s="81">
        <f t="shared" si="166"/>
        <v>57.286682885949816</v>
      </c>
      <c r="BN128" s="63">
        <f t="shared" si="198"/>
        <v>56.128</v>
      </c>
      <c r="BO128" s="63">
        <f t="shared" si="167"/>
        <v>56.128</v>
      </c>
      <c r="BP128" s="63">
        <f t="shared" si="168"/>
        <v>0</v>
      </c>
      <c r="BQ128" s="63">
        <f t="shared" si="169"/>
        <v>1.1586828859498155</v>
      </c>
      <c r="BR128" s="67">
        <f t="shared" si="170"/>
        <v>34.790963136607154</v>
      </c>
      <c r="BS128" s="69">
        <f ca="1" t="shared" si="199"/>
        <v>1.24</v>
      </c>
      <c r="BT128" s="66">
        <f ca="1" t="shared" si="171"/>
        <v>69.59872</v>
      </c>
      <c r="BU128" s="66">
        <f ca="1" t="shared" si="172"/>
        <v>57.286682885949816</v>
      </c>
      <c r="BV128" s="66">
        <f ca="1" t="shared" si="173"/>
        <v>12.312037114050185</v>
      </c>
      <c r="BW128" s="63">
        <f ca="1" t="shared" si="174"/>
        <v>0</v>
      </c>
      <c r="BX128" s="67">
        <f ca="1" t="shared" si="200"/>
        <v>40.02218199050969</v>
      </c>
      <c r="BY128" s="65">
        <f ca="1" t="shared" si="175"/>
        <v>0.1503614267119333</v>
      </c>
      <c r="BZ128" s="68">
        <f ca="1" t="shared" si="201"/>
        <v>-0.009580779788990967</v>
      </c>
      <c r="CA128" s="81">
        <f t="shared" si="176"/>
        <v>56.128</v>
      </c>
      <c r="CB128" s="63">
        <f t="shared" si="177"/>
        <v>56.128</v>
      </c>
      <c r="CC128" s="67">
        <f t="shared" si="178"/>
        <v>35.90132553133049</v>
      </c>
      <c r="CD128" s="69">
        <f ca="1" t="shared" si="202"/>
        <v>1.24</v>
      </c>
      <c r="CE128" s="190">
        <f ca="1" t="shared" si="179"/>
        <v>69.59872</v>
      </c>
      <c r="CF128" s="70">
        <f ca="1" t="shared" si="180"/>
        <v>69.59872</v>
      </c>
      <c r="CG128" s="67">
        <f ca="1" t="shared" si="181"/>
        <v>39.30481757441425</v>
      </c>
      <c r="CH128" s="65">
        <f ca="1" t="shared" si="182"/>
        <v>0.09480129194989151</v>
      </c>
      <c r="CI128" s="65">
        <f ca="1" t="shared" si="203"/>
        <v>-0.027333222815831504</v>
      </c>
      <c r="CJ128" s="68">
        <f ca="1" t="shared" si="183"/>
        <v>-0.017924170557855668</v>
      </c>
      <c r="CL128" s="97">
        <f ca="1" t="shared" si="204"/>
        <v>24636956.76762508</v>
      </c>
      <c r="CM128" s="97">
        <f ca="1" t="shared" si="205"/>
        <v>24470694.28575768</v>
      </c>
      <c r="CN128" s="97">
        <f ca="1" t="shared" si="206"/>
        <v>24400915.510163568</v>
      </c>
      <c r="CO128" s="97">
        <f ca="1" t="shared" si="184"/>
        <v>23963549.33879157</v>
      </c>
      <c r="CQ128" s="97">
        <f t="shared" si="207"/>
        <v>16717417.579395795</v>
      </c>
      <c r="CR128" s="97">
        <f t="shared" si="208"/>
        <v>17492242.742523566</v>
      </c>
      <c r="CS128" s="97">
        <f t="shared" si="209"/>
        <v>17106065.28743982</v>
      </c>
      <c r="CT128" s="97">
        <f t="shared" si="185"/>
        <v>17652009.69094126</v>
      </c>
      <c r="CV128" s="97">
        <f ca="1" t="shared" si="210"/>
        <v>24636956.76762508</v>
      </c>
      <c r="CW128" s="97">
        <f ca="1" t="shared" si="186"/>
        <v>24470694.28575768</v>
      </c>
      <c r="CX128" s="97">
        <f ca="1" t="shared" si="187"/>
        <v>24470694.28575768</v>
      </c>
      <c r="CY128" s="97">
        <f ca="1" t="shared" si="188"/>
        <v>23963549.33879157</v>
      </c>
    </row>
    <row r="129" spans="2:103" ht="12.75">
      <c r="B129" s="14">
        <v>10378</v>
      </c>
      <c r="C129" s="15" t="s">
        <v>128</v>
      </c>
      <c r="D129" s="16">
        <f>RHWM!D116</f>
        <v>1</v>
      </c>
      <c r="E129" s="16">
        <f>RHWM!E116</f>
        <v>0</v>
      </c>
      <c r="F129" s="18">
        <f>RHWM!M116</f>
        <v>2.035</v>
      </c>
      <c r="G129" s="18">
        <f>RHWM!N116</f>
        <v>2.043</v>
      </c>
      <c r="H129" s="18">
        <f>RHWM!O116</f>
        <v>2.021</v>
      </c>
      <c r="I129" s="18">
        <v>0.014</v>
      </c>
      <c r="J129" s="18">
        <v>0.022</v>
      </c>
      <c r="K129" s="18">
        <v>0.014</v>
      </c>
      <c r="L129" s="18">
        <v>0.022</v>
      </c>
      <c r="M129" s="18">
        <v>0</v>
      </c>
      <c r="N129" s="18">
        <v>0</v>
      </c>
      <c r="O129" s="81">
        <f t="shared" si="130"/>
        <v>2.021</v>
      </c>
      <c r="P129" s="63">
        <f t="shared" si="131"/>
        <v>2.043</v>
      </c>
      <c r="Q129" s="63">
        <f t="shared" si="132"/>
        <v>2.021</v>
      </c>
      <c r="R129" s="63">
        <f t="shared" si="133"/>
        <v>0.02200000000000024</v>
      </c>
      <c r="S129" s="63">
        <f t="shared" si="134"/>
        <v>0</v>
      </c>
      <c r="T129" s="67">
        <f t="shared" si="189"/>
        <v>34.263190845803784</v>
      </c>
      <c r="U129" s="138">
        <f ca="1" t="shared" si="190"/>
        <v>1.18</v>
      </c>
      <c r="V129" s="66">
        <f ca="1" t="shared" si="191"/>
        <v>2.41074</v>
      </c>
      <c r="W129" s="66">
        <f ca="1" t="shared" si="135"/>
        <v>2.021</v>
      </c>
      <c r="X129" s="66">
        <f ca="1" t="shared" si="136"/>
        <v>0.3897400000000002</v>
      </c>
      <c r="Y129" s="63">
        <f ca="1" t="shared" si="137"/>
        <v>0</v>
      </c>
      <c r="Z129" s="67">
        <f ca="1" t="shared" si="192"/>
        <v>39.46983509433403</v>
      </c>
      <c r="AA129" s="68">
        <f ca="1" t="shared" si="193"/>
        <v>0.15196028507566472</v>
      </c>
      <c r="AB129" s="169">
        <f t="shared" si="138"/>
        <v>2.021</v>
      </c>
      <c r="AC129" s="169">
        <f t="shared" si="139"/>
        <v>4.042</v>
      </c>
      <c r="AD129" s="169">
        <v>0</v>
      </c>
      <c r="AE129" s="171">
        <f t="shared" si="140"/>
        <v>0</v>
      </c>
      <c r="AF129" s="182">
        <v>0</v>
      </c>
      <c r="AG129" s="182">
        <f t="shared" si="141"/>
        <v>0</v>
      </c>
      <c r="AH129" s="182">
        <f t="shared" si="142"/>
        <v>0</v>
      </c>
      <c r="AI129" s="182">
        <v>0</v>
      </c>
      <c r="AJ129" s="171">
        <f t="shared" si="143"/>
        <v>0.01100000000000012</v>
      </c>
      <c r="AK129" s="171">
        <f t="shared" si="144"/>
        <v>4.053</v>
      </c>
      <c r="AL129" s="171">
        <f t="shared" si="145"/>
        <v>0.25865442424892404</v>
      </c>
      <c r="AM129" s="171">
        <f t="shared" si="146"/>
        <v>4.311654424248924</v>
      </c>
      <c r="AN129" s="81">
        <f t="shared" si="147"/>
        <v>4.311654424248924</v>
      </c>
      <c r="AO129" s="63">
        <f t="shared" si="148"/>
        <v>2.043</v>
      </c>
      <c r="AP129" s="63">
        <f t="shared" si="149"/>
        <v>2.043</v>
      </c>
      <c r="AQ129" s="63">
        <f t="shared" si="150"/>
        <v>0</v>
      </c>
      <c r="AR129" s="63">
        <f t="shared" si="151"/>
        <v>2.2686544242489237</v>
      </c>
      <c r="AS129" s="67">
        <f t="shared" si="194"/>
        <v>35.5763854636149</v>
      </c>
      <c r="AT129" s="65">
        <f ca="1" t="shared" si="195"/>
        <v>1.18</v>
      </c>
      <c r="AU129" s="66">
        <f ca="1" t="shared" si="152"/>
        <v>2.41074</v>
      </c>
      <c r="AV129" s="66">
        <f ca="1" t="shared" si="153"/>
        <v>2.41074</v>
      </c>
      <c r="AW129" s="66">
        <f ca="1" t="shared" si="154"/>
        <v>0</v>
      </c>
      <c r="AX129" s="63">
        <f ca="1" t="shared" si="155"/>
        <v>1.9009144242489238</v>
      </c>
      <c r="AY129" s="67">
        <f ca="1" t="shared" si="196"/>
        <v>36.38031310262951</v>
      </c>
      <c r="AZ129" s="65">
        <f ca="1" t="shared" si="156"/>
        <v>0.0225972264618286</v>
      </c>
      <c r="BA129" s="68">
        <f ca="1" t="shared" si="197"/>
        <v>-0.07827552317663544</v>
      </c>
      <c r="BB129" s="169">
        <f t="shared" si="157"/>
        <v>2.021</v>
      </c>
      <c r="BC129" s="169">
        <f t="shared" si="158"/>
        <v>4.042</v>
      </c>
      <c r="BD129" s="169">
        <v>0</v>
      </c>
      <c r="BE129" s="171">
        <f t="shared" si="159"/>
        <v>0</v>
      </c>
      <c r="BF129" s="182">
        <v>0</v>
      </c>
      <c r="BG129" s="182">
        <f t="shared" si="160"/>
        <v>0</v>
      </c>
      <c r="BH129" s="182">
        <f t="shared" si="161"/>
        <v>0</v>
      </c>
      <c r="BI129" s="169">
        <f t="shared" si="162"/>
        <v>0.00550000000000006</v>
      </c>
      <c r="BJ129" s="171">
        <f t="shared" si="163"/>
        <v>4.047499999999999</v>
      </c>
      <c r="BK129" s="171">
        <f t="shared" si="164"/>
        <v>0.07765687609704765</v>
      </c>
      <c r="BL129" s="171">
        <f t="shared" si="165"/>
        <v>4.125156876097047</v>
      </c>
      <c r="BM129" s="81">
        <f t="shared" si="166"/>
        <v>4.125156876097047</v>
      </c>
      <c r="BN129" s="63">
        <f t="shared" si="198"/>
        <v>2.043</v>
      </c>
      <c r="BO129" s="63">
        <f t="shared" si="167"/>
        <v>2.043</v>
      </c>
      <c r="BP129" s="63">
        <f t="shared" si="168"/>
        <v>0</v>
      </c>
      <c r="BQ129" s="63">
        <f t="shared" si="169"/>
        <v>2.082156876097047</v>
      </c>
      <c r="BR129" s="67">
        <f t="shared" si="170"/>
        <v>34.790963136607154</v>
      </c>
      <c r="BS129" s="69">
        <f ca="1" t="shared" si="199"/>
        <v>1.18</v>
      </c>
      <c r="BT129" s="66">
        <f ca="1" t="shared" si="171"/>
        <v>2.41074</v>
      </c>
      <c r="BU129" s="66">
        <f ca="1" t="shared" si="172"/>
        <v>2.41074</v>
      </c>
      <c r="BV129" s="66">
        <f ca="1" t="shared" si="173"/>
        <v>0</v>
      </c>
      <c r="BW129" s="63">
        <f ca="1" t="shared" si="174"/>
        <v>1.7144168760970468</v>
      </c>
      <c r="BX129" s="67">
        <f ca="1" t="shared" si="200"/>
        <v>35.05800570624853</v>
      </c>
      <c r="BY129" s="65">
        <f ca="1" t="shared" si="175"/>
        <v>0.007675630266193778</v>
      </c>
      <c r="BZ129" s="68">
        <f ca="1" t="shared" si="201"/>
        <v>-0.11177724400269473</v>
      </c>
      <c r="CA129" s="81">
        <f t="shared" si="176"/>
        <v>2.043</v>
      </c>
      <c r="CB129" s="63">
        <f t="shared" si="177"/>
        <v>2.043</v>
      </c>
      <c r="CC129" s="67">
        <f t="shared" si="178"/>
        <v>35.90132553133049</v>
      </c>
      <c r="CD129" s="69">
        <f ca="1" t="shared" si="202"/>
        <v>1.18</v>
      </c>
      <c r="CE129" s="190">
        <f ca="1" t="shared" si="179"/>
        <v>2.41074</v>
      </c>
      <c r="CF129" s="70">
        <f ca="1" t="shared" si="180"/>
        <v>2.41074</v>
      </c>
      <c r="CG129" s="67">
        <f ca="1" t="shared" si="181"/>
        <v>39.30481757441425</v>
      </c>
      <c r="CH129" s="65">
        <f ca="1" t="shared" si="182"/>
        <v>0.09480129194989151</v>
      </c>
      <c r="CI129" s="65">
        <f ca="1" t="shared" si="203"/>
        <v>-0.004180851516743966</v>
      </c>
      <c r="CJ129" s="68">
        <f ca="1" t="shared" si="183"/>
        <v>0.12113672134546993</v>
      </c>
      <c r="CL129" s="97">
        <f ca="1" t="shared" si="204"/>
        <v>833527.2298365578</v>
      </c>
      <c r="CM129" s="97">
        <f ca="1" t="shared" si="205"/>
        <v>768282.4498391297</v>
      </c>
      <c r="CN129" s="97">
        <f ca="1" t="shared" si="206"/>
        <v>740357.8532842266</v>
      </c>
      <c r="CO129" s="97">
        <f ca="1" t="shared" si="184"/>
        <v>830042.3762534483</v>
      </c>
      <c r="CQ129" s="97">
        <f t="shared" si="207"/>
        <v>613197.3623462798</v>
      </c>
      <c r="CR129" s="97">
        <f t="shared" si="208"/>
        <v>636699.1861989675</v>
      </c>
      <c r="CS129" s="97">
        <f t="shared" si="209"/>
        <v>622642.7341476545</v>
      </c>
      <c r="CT129" s="97">
        <f t="shared" si="185"/>
        <v>642514.5346100518</v>
      </c>
      <c r="CV129" s="97">
        <f ca="1" t="shared" si="210"/>
        <v>833527.2298365579</v>
      </c>
      <c r="CW129" s="97">
        <f ca="1" t="shared" si="186"/>
        <v>768282.4498391296</v>
      </c>
      <c r="CX129" s="97">
        <f ca="1" t="shared" si="187"/>
        <v>768282.4498391296</v>
      </c>
      <c r="CY129" s="97">
        <f ca="1" t="shared" si="188"/>
        <v>830042.3762534483</v>
      </c>
    </row>
    <row r="130" spans="2:103" ht="12.75">
      <c r="B130" s="14">
        <v>10379</v>
      </c>
      <c r="C130" s="15" t="s">
        <v>129</v>
      </c>
      <c r="D130" s="16">
        <f>RHWM!D117</f>
        <v>1</v>
      </c>
      <c r="E130" s="16">
        <f>RHWM!E117</f>
        <v>0</v>
      </c>
      <c r="F130" s="18">
        <f>RHWM!M117</f>
        <v>4.59</v>
      </c>
      <c r="G130" s="18">
        <f>RHWM!N117</f>
        <v>4.611</v>
      </c>
      <c r="H130" s="18">
        <f>RHWM!O117</f>
        <v>4.808</v>
      </c>
      <c r="I130" s="18">
        <v>0</v>
      </c>
      <c r="J130" s="18">
        <v>0</v>
      </c>
      <c r="K130" s="18">
        <v>0</v>
      </c>
      <c r="L130" s="18">
        <v>0</v>
      </c>
      <c r="M130" s="18">
        <v>0</v>
      </c>
      <c r="N130" s="18">
        <v>0</v>
      </c>
      <c r="O130" s="81">
        <f t="shared" si="130"/>
        <v>4.808</v>
      </c>
      <c r="P130" s="63">
        <f t="shared" si="131"/>
        <v>4.611</v>
      </c>
      <c r="Q130" s="63">
        <f t="shared" si="132"/>
        <v>4.611</v>
      </c>
      <c r="R130" s="63">
        <f t="shared" si="133"/>
        <v>0</v>
      </c>
      <c r="S130" s="63">
        <f t="shared" si="134"/>
        <v>0.19700000000000006</v>
      </c>
      <c r="T130" s="67">
        <f t="shared" si="189"/>
        <v>33.949064274110405</v>
      </c>
      <c r="U130" s="138">
        <f ca="1" t="shared" si="190"/>
        <v>1.38</v>
      </c>
      <c r="V130" s="66">
        <f ca="1" t="shared" si="191"/>
        <v>6.363179999999999</v>
      </c>
      <c r="W130" s="66">
        <f ca="1" t="shared" si="135"/>
        <v>4.808</v>
      </c>
      <c r="X130" s="66">
        <f ca="1" t="shared" si="136"/>
        <v>1.5551799999999991</v>
      </c>
      <c r="Y130" s="63">
        <f ca="1" t="shared" si="137"/>
        <v>0</v>
      </c>
      <c r="Z130" s="67">
        <f ca="1" t="shared" si="192"/>
        <v>41.803863918960694</v>
      </c>
      <c r="AA130" s="68">
        <f ca="1" t="shared" si="193"/>
        <v>0.23137013678578366</v>
      </c>
      <c r="AB130" s="169">
        <f t="shared" si="138"/>
        <v>4.611</v>
      </c>
      <c r="AC130" s="169">
        <f t="shared" si="139"/>
        <v>5</v>
      </c>
      <c r="AD130" s="169">
        <v>0</v>
      </c>
      <c r="AE130" s="171">
        <f t="shared" si="140"/>
        <v>0</v>
      </c>
      <c r="AF130" s="182">
        <v>0</v>
      </c>
      <c r="AG130" s="182">
        <f t="shared" si="141"/>
        <v>0</v>
      </c>
      <c r="AH130" s="182">
        <f t="shared" si="142"/>
        <v>0</v>
      </c>
      <c r="AI130" s="182">
        <v>0</v>
      </c>
      <c r="AJ130" s="171">
        <f t="shared" si="143"/>
        <v>0</v>
      </c>
      <c r="AK130" s="171">
        <f t="shared" si="144"/>
        <v>5</v>
      </c>
      <c r="AL130" s="171">
        <f t="shared" si="145"/>
        <v>0.31909008666287203</v>
      </c>
      <c r="AM130" s="171">
        <f t="shared" si="146"/>
        <v>5.319090086662872</v>
      </c>
      <c r="AN130" s="81">
        <f t="shared" si="147"/>
        <v>5.319090086662872</v>
      </c>
      <c r="AO130" s="63">
        <f t="shared" si="148"/>
        <v>4.611</v>
      </c>
      <c r="AP130" s="63">
        <f t="shared" si="149"/>
        <v>4.611</v>
      </c>
      <c r="AQ130" s="63">
        <f t="shared" si="150"/>
        <v>0</v>
      </c>
      <c r="AR130" s="63">
        <f t="shared" si="151"/>
        <v>0.7080900866628719</v>
      </c>
      <c r="AS130" s="67">
        <f t="shared" si="194"/>
        <v>35.5763854636149</v>
      </c>
      <c r="AT130" s="65">
        <f ca="1" t="shared" si="195"/>
        <v>1.38</v>
      </c>
      <c r="AU130" s="66">
        <f ca="1" t="shared" si="152"/>
        <v>6.363179999999999</v>
      </c>
      <c r="AV130" s="66">
        <f ca="1" t="shared" si="153"/>
        <v>5.319090086662872</v>
      </c>
      <c r="AW130" s="66">
        <f ca="1" t="shared" si="154"/>
        <v>1.0440899133371273</v>
      </c>
      <c r="AX130" s="63">
        <f ca="1" t="shared" si="155"/>
        <v>0</v>
      </c>
      <c r="AY130" s="67">
        <f ca="1" t="shared" si="196"/>
        <v>40.767842195840366</v>
      </c>
      <c r="AZ130" s="65">
        <f ca="1" t="shared" si="156"/>
        <v>0.1459242321717853</v>
      </c>
      <c r="BA130" s="68">
        <f ca="1" t="shared" si="197"/>
        <v>-0.024782917797472437</v>
      </c>
      <c r="BB130" s="169">
        <f t="shared" si="157"/>
        <v>4.611</v>
      </c>
      <c r="BC130" s="169">
        <f t="shared" si="158"/>
        <v>5</v>
      </c>
      <c r="BD130" s="169">
        <v>0</v>
      </c>
      <c r="BE130" s="171">
        <f t="shared" si="159"/>
        <v>0</v>
      </c>
      <c r="BF130" s="182">
        <v>0</v>
      </c>
      <c r="BG130" s="182">
        <f t="shared" si="160"/>
        <v>0</v>
      </c>
      <c r="BH130" s="182">
        <f t="shared" si="161"/>
        <v>0</v>
      </c>
      <c r="BI130" s="169">
        <f t="shared" si="162"/>
        <v>0</v>
      </c>
      <c r="BJ130" s="171">
        <f t="shared" si="163"/>
        <v>5</v>
      </c>
      <c r="BK130" s="171">
        <f t="shared" si="164"/>
        <v>0.09593190376411076</v>
      </c>
      <c r="BL130" s="171">
        <f t="shared" si="165"/>
        <v>5.095931903764111</v>
      </c>
      <c r="BM130" s="81">
        <f t="shared" si="166"/>
        <v>5.095931903764111</v>
      </c>
      <c r="BN130" s="63">
        <f t="shared" si="198"/>
        <v>4.611</v>
      </c>
      <c r="BO130" s="63">
        <f t="shared" si="167"/>
        <v>4.611</v>
      </c>
      <c r="BP130" s="63">
        <f t="shared" si="168"/>
        <v>0</v>
      </c>
      <c r="BQ130" s="63">
        <f t="shared" si="169"/>
        <v>0.4849319037641111</v>
      </c>
      <c r="BR130" s="67">
        <f t="shared" si="170"/>
        <v>34.790963136607154</v>
      </c>
      <c r="BS130" s="69">
        <f ca="1" t="shared" si="199"/>
        <v>1.38</v>
      </c>
      <c r="BT130" s="66">
        <f ca="1" t="shared" si="171"/>
        <v>6.363179999999999</v>
      </c>
      <c r="BU130" s="66">
        <f ca="1" t="shared" si="172"/>
        <v>5.095931903764111</v>
      </c>
      <c r="BV130" s="66">
        <f ca="1" t="shared" si="173"/>
        <v>1.267248096235888</v>
      </c>
      <c r="BW130" s="63">
        <f ca="1" t="shared" si="174"/>
        <v>0</v>
      </c>
      <c r="BX130" s="67">
        <f ca="1" t="shared" si="200"/>
        <v>40.646643595690435</v>
      </c>
      <c r="BY130" s="65">
        <f ca="1" t="shared" si="175"/>
        <v>0.16831038669699594</v>
      </c>
      <c r="BZ130" s="68">
        <f ca="1" t="shared" si="201"/>
        <v>-0.027682137840501997</v>
      </c>
      <c r="CA130" s="81">
        <f t="shared" si="176"/>
        <v>4.611</v>
      </c>
      <c r="CB130" s="63">
        <f t="shared" si="177"/>
        <v>4.611</v>
      </c>
      <c r="CC130" s="67">
        <f t="shared" si="178"/>
        <v>35.90132553133049</v>
      </c>
      <c r="CD130" s="69">
        <f ca="1" t="shared" si="202"/>
        <v>1.38</v>
      </c>
      <c r="CE130" s="190">
        <f ca="1" t="shared" si="179"/>
        <v>6.363179999999999</v>
      </c>
      <c r="CF130" s="70">
        <f ca="1" t="shared" si="180"/>
        <v>6.363179999999999</v>
      </c>
      <c r="CG130" s="67">
        <f ca="1" t="shared" si="181"/>
        <v>39.30481757441425</v>
      </c>
      <c r="CH130" s="65">
        <f ca="1" t="shared" si="182"/>
        <v>0.09480129194989151</v>
      </c>
      <c r="CI130" s="65">
        <f ca="1" t="shared" si="203"/>
        <v>-0.059780271732560286</v>
      </c>
      <c r="CJ130" s="68">
        <f ca="1" t="shared" si="183"/>
        <v>-0.03301197596099792</v>
      </c>
      <c r="CL130" s="97">
        <f ca="1" t="shared" si="204"/>
        <v>2330208.274711826</v>
      </c>
      <c r="CM130" s="97">
        <f ca="1" t="shared" si="205"/>
        <v>2272458.9145886526</v>
      </c>
      <c r="CN130" s="97">
        <f ca="1" t="shared" si="206"/>
        <v>2265703.1280541746</v>
      </c>
      <c r="CO130" s="97">
        <f ca="1" t="shared" si="184"/>
        <v>2190907.7908560922</v>
      </c>
      <c r="CQ130" s="97">
        <f t="shared" si="207"/>
        <v>1371282.8258230062</v>
      </c>
      <c r="CR130" s="97">
        <f t="shared" si="208"/>
        <v>1437014.1691450998</v>
      </c>
      <c r="CS130" s="97">
        <f t="shared" si="209"/>
        <v>1405289.1077605654</v>
      </c>
      <c r="CT130" s="97">
        <f t="shared" si="185"/>
        <v>1450139.2653386926</v>
      </c>
      <c r="CV130" s="97">
        <f ca="1" t="shared" si="210"/>
        <v>2330208.274711826</v>
      </c>
      <c r="CW130" s="97">
        <f ca="1" t="shared" si="186"/>
        <v>2272458.9145886526</v>
      </c>
      <c r="CX130" s="97">
        <f ca="1" t="shared" si="187"/>
        <v>2272458.9145886526</v>
      </c>
      <c r="CY130" s="97">
        <f ca="1" t="shared" si="188"/>
        <v>2190907.7908560922</v>
      </c>
    </row>
    <row r="131" spans="2:103" ht="12.75">
      <c r="B131" s="14">
        <v>10388</v>
      </c>
      <c r="C131" s="15" t="s">
        <v>130</v>
      </c>
      <c r="D131" s="16">
        <f>RHWM!D118</f>
        <v>1</v>
      </c>
      <c r="E131" s="16">
        <f>RHWM!E118</f>
        <v>0</v>
      </c>
      <c r="F131" s="18">
        <f>RHWM!M118</f>
        <v>221.825</v>
      </c>
      <c r="G131" s="18">
        <f>RHWM!N118</f>
        <v>221.953</v>
      </c>
      <c r="H131" s="18">
        <f>RHWM!O118</f>
        <v>113.223</v>
      </c>
      <c r="I131" s="18">
        <v>108.602</v>
      </c>
      <c r="J131" s="18">
        <v>108.73</v>
      </c>
      <c r="K131" s="18">
        <v>0</v>
      </c>
      <c r="L131" s="18">
        <v>0</v>
      </c>
      <c r="M131" s="18">
        <v>108.602</v>
      </c>
      <c r="N131" s="18">
        <v>108.73</v>
      </c>
      <c r="O131" s="81">
        <f t="shared" si="130"/>
        <v>113.223</v>
      </c>
      <c r="P131" s="63">
        <f t="shared" si="131"/>
        <v>221.953</v>
      </c>
      <c r="Q131" s="63">
        <f t="shared" si="132"/>
        <v>113.223</v>
      </c>
      <c r="R131" s="63">
        <f t="shared" si="133"/>
        <v>108.73</v>
      </c>
      <c r="S131" s="63">
        <f t="shared" si="134"/>
        <v>0</v>
      </c>
      <c r="T131" s="67">
        <f t="shared" si="189"/>
        <v>48.239278154868835</v>
      </c>
      <c r="U131" s="138">
        <f ca="1" t="shared" si="190"/>
        <v>1.39</v>
      </c>
      <c r="V131" s="66">
        <f ca="1" t="shared" si="191"/>
        <v>308.51466999999997</v>
      </c>
      <c r="W131" s="66">
        <f ca="1" t="shared" si="135"/>
        <v>113.223</v>
      </c>
      <c r="X131" s="66">
        <f ca="1" t="shared" si="136"/>
        <v>195.29166999999995</v>
      </c>
      <c r="Y131" s="63">
        <f ca="1" t="shared" si="137"/>
        <v>0</v>
      </c>
      <c r="Z131" s="67">
        <f ca="1" t="shared" si="192"/>
        <v>52.76674115902626</v>
      </c>
      <c r="AA131" s="68">
        <f ca="1" t="shared" si="193"/>
        <v>0.09385428591245337</v>
      </c>
      <c r="AB131" s="169">
        <f t="shared" si="138"/>
        <v>113.223</v>
      </c>
      <c r="AC131" s="169">
        <f t="shared" si="139"/>
        <v>113.223</v>
      </c>
      <c r="AD131" s="169">
        <v>12.325</v>
      </c>
      <c r="AE131" s="171">
        <f t="shared" si="140"/>
        <v>6.1625</v>
      </c>
      <c r="AF131" s="182">
        <v>0</v>
      </c>
      <c r="AG131" s="182">
        <f t="shared" si="141"/>
        <v>0</v>
      </c>
      <c r="AH131" s="182">
        <f t="shared" si="142"/>
        <v>0</v>
      </c>
      <c r="AI131" s="182">
        <v>0.2321917808219178</v>
      </c>
      <c r="AJ131" s="171">
        <f t="shared" si="143"/>
        <v>54.365</v>
      </c>
      <c r="AK131" s="171">
        <f t="shared" si="144"/>
        <v>173.7505</v>
      </c>
      <c r="AL131" s="171">
        <f t="shared" si="145"/>
        <v>11.088412420543468</v>
      </c>
      <c r="AM131" s="171">
        <f t="shared" si="146"/>
        <v>184.83891242054347</v>
      </c>
      <c r="AN131" s="81">
        <f t="shared" si="147"/>
        <v>184.83891242054347</v>
      </c>
      <c r="AO131" s="63">
        <f t="shared" si="148"/>
        <v>221.953</v>
      </c>
      <c r="AP131" s="63">
        <f t="shared" si="149"/>
        <v>184.83891242054347</v>
      </c>
      <c r="AQ131" s="63">
        <f t="shared" si="150"/>
        <v>37.11408757945654</v>
      </c>
      <c r="AR131" s="63">
        <f t="shared" si="151"/>
        <v>0</v>
      </c>
      <c r="AS131" s="67">
        <f t="shared" si="194"/>
        <v>40.182117858122695</v>
      </c>
      <c r="AT131" s="65">
        <f ca="1" t="shared" si="195"/>
        <v>1.39</v>
      </c>
      <c r="AU131" s="66">
        <f ca="1" t="shared" si="152"/>
        <v>308.51466999999997</v>
      </c>
      <c r="AV131" s="66">
        <f ca="1" t="shared" si="153"/>
        <v>184.83891242054347</v>
      </c>
      <c r="AW131" s="66">
        <f ca="1" t="shared" si="154"/>
        <v>123.6757575794565</v>
      </c>
      <c r="AX131" s="63">
        <f ca="1" t="shared" si="155"/>
        <v>0</v>
      </c>
      <c r="AY131" s="67">
        <f ca="1" t="shared" si="196"/>
        <v>47.09957982167973</v>
      </c>
      <c r="AZ131" s="65">
        <f ca="1" t="shared" si="156"/>
        <v>0.17215274685076598</v>
      </c>
      <c r="BA131" s="68">
        <f ca="1" t="shared" si="197"/>
        <v>-0.10740025275138876</v>
      </c>
      <c r="BB131" s="169">
        <f t="shared" si="157"/>
        <v>113.223</v>
      </c>
      <c r="BC131" s="169">
        <f t="shared" si="158"/>
        <v>113.223</v>
      </c>
      <c r="BD131" s="169">
        <v>12.325</v>
      </c>
      <c r="BE131" s="171">
        <f t="shared" si="159"/>
        <v>6.1625</v>
      </c>
      <c r="BF131" s="182">
        <v>0</v>
      </c>
      <c r="BG131" s="182">
        <f t="shared" si="160"/>
        <v>0</v>
      </c>
      <c r="BH131" s="182">
        <f t="shared" si="161"/>
        <v>0</v>
      </c>
      <c r="BI131" s="169">
        <f t="shared" si="162"/>
        <v>27.1825</v>
      </c>
      <c r="BJ131" s="171">
        <f t="shared" si="163"/>
        <v>146.56799999999998</v>
      </c>
      <c r="BK131" s="171">
        <f t="shared" si="164"/>
        <v>2.8121094541796365</v>
      </c>
      <c r="BL131" s="171">
        <f t="shared" si="165"/>
        <v>149.38010945417963</v>
      </c>
      <c r="BM131" s="81">
        <f t="shared" si="166"/>
        <v>149.38010945417963</v>
      </c>
      <c r="BN131" s="63">
        <f t="shared" si="198"/>
        <v>221.953</v>
      </c>
      <c r="BO131" s="63">
        <f t="shared" si="167"/>
        <v>149.38010945417963</v>
      </c>
      <c r="BP131" s="63">
        <f t="shared" si="168"/>
        <v>72.57289054582037</v>
      </c>
      <c r="BQ131" s="63">
        <f t="shared" si="169"/>
        <v>0</v>
      </c>
      <c r="BR131" s="67">
        <f t="shared" si="170"/>
        <v>44.053825506367964</v>
      </c>
      <c r="BS131" s="69">
        <f ca="1" t="shared" si="199"/>
        <v>1.39</v>
      </c>
      <c r="BT131" s="66">
        <f ca="1" t="shared" si="171"/>
        <v>308.51466999999997</v>
      </c>
      <c r="BU131" s="66">
        <f ca="1" t="shared" si="172"/>
        <v>149.38010945417963</v>
      </c>
      <c r="BV131" s="66">
        <f ca="1" t="shared" si="173"/>
        <v>159.13456054582034</v>
      </c>
      <c r="BW131" s="63">
        <f ca="1" t="shared" si="174"/>
        <v>0</v>
      </c>
      <c r="BX131" s="67">
        <f ca="1" t="shared" si="200"/>
        <v>49.532627382992324</v>
      </c>
      <c r="BY131" s="65">
        <f ca="1" t="shared" si="175"/>
        <v>0.12436608656908588</v>
      </c>
      <c r="BZ131" s="68">
        <f ca="1" t="shared" si="201"/>
        <v>-0.061290762040564495</v>
      </c>
      <c r="CA131" s="81">
        <f t="shared" si="176"/>
        <v>221.953</v>
      </c>
      <c r="CB131" s="63">
        <f t="shared" si="177"/>
        <v>221.953</v>
      </c>
      <c r="CC131" s="67">
        <f t="shared" si="178"/>
        <v>35.90132553133049</v>
      </c>
      <c r="CD131" s="69">
        <f ca="1" t="shared" si="202"/>
        <v>1.39</v>
      </c>
      <c r="CE131" s="190">
        <f ca="1" t="shared" si="179"/>
        <v>308.51466999999997</v>
      </c>
      <c r="CF131" s="70">
        <f ca="1" t="shared" si="180"/>
        <v>308.51466999999997</v>
      </c>
      <c r="CG131" s="67">
        <f ca="1" t="shared" si="181"/>
        <v>39.30481757441425</v>
      </c>
      <c r="CH131" s="65">
        <f ca="1" t="shared" si="182"/>
        <v>0.09480129194989151</v>
      </c>
      <c r="CI131" s="65">
        <f ca="1" t="shared" si="203"/>
        <v>-0.2551213754899324</v>
      </c>
      <c r="CJ131" s="68">
        <f ca="1" t="shared" si="183"/>
        <v>-0.20648631718029808</v>
      </c>
      <c r="CL131" s="97">
        <f ca="1" t="shared" si="204"/>
        <v>142606788.32431504</v>
      </c>
      <c r="CM131" s="97">
        <f ca="1" t="shared" si="205"/>
        <v>127290783.21421982</v>
      </c>
      <c r="CN131" s="97">
        <f ca="1" t="shared" si="206"/>
        <v>133866309.59576029</v>
      </c>
      <c r="CO131" s="97">
        <f ca="1" t="shared" si="184"/>
        <v>106224748.33281416</v>
      </c>
      <c r="CQ131" s="97">
        <f t="shared" si="207"/>
        <v>93792027.9377346</v>
      </c>
      <c r="CR131" s="97">
        <f t="shared" si="208"/>
        <v>78126424.45948382</v>
      </c>
      <c r="CS131" s="97">
        <f t="shared" si="209"/>
        <v>85654217.6977064</v>
      </c>
      <c r="CT131" s="97">
        <f t="shared" si="185"/>
        <v>69803244.49354127</v>
      </c>
      <c r="CV131" s="97">
        <f ca="1" t="shared" si="210"/>
        <v>142606788.32431504</v>
      </c>
      <c r="CW131" s="97">
        <f ca="1" t="shared" si="186"/>
        <v>127290783.21421982</v>
      </c>
      <c r="CX131" s="97">
        <f ca="1" t="shared" si="187"/>
        <v>127290783.21421982</v>
      </c>
      <c r="CY131" s="97">
        <f ca="1" t="shared" si="188"/>
        <v>106224748.33281416</v>
      </c>
    </row>
    <row r="132" spans="2:103" ht="12.75">
      <c r="B132" s="14">
        <v>10391</v>
      </c>
      <c r="C132" s="15" t="s">
        <v>131</v>
      </c>
      <c r="D132" s="16">
        <f>RHWM!D119</f>
        <v>1</v>
      </c>
      <c r="E132" s="16">
        <f>RHWM!E119</f>
        <v>0</v>
      </c>
      <c r="F132" s="18">
        <f>RHWM!M119</f>
        <v>38.054</v>
      </c>
      <c r="G132" s="18">
        <f>RHWM!N119</f>
        <v>38.608</v>
      </c>
      <c r="H132" s="18">
        <f>RHWM!O119</f>
        <v>29.977</v>
      </c>
      <c r="I132" s="18">
        <v>8.077</v>
      </c>
      <c r="J132" s="18">
        <v>8.631</v>
      </c>
      <c r="K132" s="18">
        <v>0</v>
      </c>
      <c r="L132" s="18">
        <v>0</v>
      </c>
      <c r="M132" s="18">
        <v>8.077</v>
      </c>
      <c r="N132" s="18">
        <v>8.631</v>
      </c>
      <c r="O132" s="81">
        <f t="shared" si="130"/>
        <v>29.977</v>
      </c>
      <c r="P132" s="63">
        <f t="shared" si="131"/>
        <v>38.608</v>
      </c>
      <c r="Q132" s="63">
        <f t="shared" si="132"/>
        <v>29.977</v>
      </c>
      <c r="R132" s="63">
        <f t="shared" si="133"/>
        <v>8.630999999999997</v>
      </c>
      <c r="S132" s="63">
        <f t="shared" si="134"/>
        <v>0</v>
      </c>
      <c r="T132" s="67">
        <f t="shared" si="189"/>
        <v>40.47036416662369</v>
      </c>
      <c r="U132" s="138">
        <f ca="1" t="shared" si="190"/>
        <v>0.96</v>
      </c>
      <c r="V132" s="66">
        <f ca="1" t="shared" si="191"/>
        <v>37.06368</v>
      </c>
      <c r="W132" s="66">
        <f ca="1" t="shared" si="135"/>
        <v>29.977</v>
      </c>
      <c r="X132" s="66">
        <f ca="1" t="shared" si="136"/>
        <v>7.086679999999998</v>
      </c>
      <c r="Y132" s="63">
        <f ca="1" t="shared" si="137"/>
        <v>0</v>
      </c>
      <c r="Z132" s="67">
        <f ca="1" t="shared" si="192"/>
        <v>40.3030356403295</v>
      </c>
      <c r="AA132" s="68">
        <f ca="1" t="shared" si="193"/>
        <v>-0.004134594035409944</v>
      </c>
      <c r="AB132" s="169">
        <f t="shared" si="138"/>
        <v>29.977</v>
      </c>
      <c r="AC132" s="169">
        <f t="shared" si="139"/>
        <v>29.977</v>
      </c>
      <c r="AD132" s="169">
        <v>0.312</v>
      </c>
      <c r="AE132" s="171">
        <f t="shared" si="140"/>
        <v>0.156</v>
      </c>
      <c r="AF132" s="182">
        <v>0</v>
      </c>
      <c r="AG132" s="182">
        <f t="shared" si="141"/>
        <v>0</v>
      </c>
      <c r="AH132" s="182">
        <f t="shared" si="142"/>
        <v>0</v>
      </c>
      <c r="AI132" s="182">
        <v>0</v>
      </c>
      <c r="AJ132" s="171">
        <f t="shared" si="143"/>
        <v>4.315499999999998</v>
      </c>
      <c r="AK132" s="171">
        <f t="shared" si="144"/>
        <v>34.448499999999996</v>
      </c>
      <c r="AL132" s="171">
        <f t="shared" si="145"/>
        <v>2.198434970081189</v>
      </c>
      <c r="AM132" s="171">
        <f t="shared" si="146"/>
        <v>36.64693497008118</v>
      </c>
      <c r="AN132" s="81">
        <f t="shared" si="147"/>
        <v>36.64693497008118</v>
      </c>
      <c r="AO132" s="63">
        <f t="shared" si="148"/>
        <v>38.608</v>
      </c>
      <c r="AP132" s="63">
        <f t="shared" si="149"/>
        <v>36.64693497008118</v>
      </c>
      <c r="AQ132" s="63">
        <f t="shared" si="150"/>
        <v>1.9610650299188137</v>
      </c>
      <c r="AR132" s="63">
        <f t="shared" si="151"/>
        <v>0</v>
      </c>
      <c r="AS132" s="67">
        <f t="shared" si="194"/>
        <v>36.97544315282098</v>
      </c>
      <c r="AT132" s="65">
        <f ca="1" t="shared" si="195"/>
        <v>0.96</v>
      </c>
      <c r="AU132" s="66">
        <f ca="1" t="shared" si="152"/>
        <v>37.06368</v>
      </c>
      <c r="AV132" s="66">
        <f ca="1" t="shared" si="153"/>
        <v>36.64693497008118</v>
      </c>
      <c r="AW132" s="66">
        <f ca="1" t="shared" si="154"/>
        <v>0.4167450299188147</v>
      </c>
      <c r="AX132" s="63">
        <f ca="1" t="shared" si="155"/>
        <v>0</v>
      </c>
      <c r="AY132" s="67">
        <f ca="1" t="shared" si="196"/>
        <v>36.68097487221268</v>
      </c>
      <c r="AZ132" s="65">
        <f ca="1" t="shared" si="156"/>
        <v>-0.007963887799566027</v>
      </c>
      <c r="BA132" s="68">
        <f ca="1" t="shared" si="197"/>
        <v>-0.08987066881116956</v>
      </c>
      <c r="BB132" s="169">
        <f t="shared" si="157"/>
        <v>29.977</v>
      </c>
      <c r="BC132" s="169">
        <f t="shared" si="158"/>
        <v>29.977</v>
      </c>
      <c r="BD132" s="169">
        <v>0.312</v>
      </c>
      <c r="BE132" s="171">
        <f t="shared" si="159"/>
        <v>0.156</v>
      </c>
      <c r="BF132" s="182">
        <v>0</v>
      </c>
      <c r="BG132" s="182">
        <f t="shared" si="160"/>
        <v>0</v>
      </c>
      <c r="BH132" s="182">
        <f t="shared" si="161"/>
        <v>0</v>
      </c>
      <c r="BI132" s="169">
        <f t="shared" si="162"/>
        <v>2.157749999999999</v>
      </c>
      <c r="BJ132" s="171">
        <f t="shared" si="163"/>
        <v>32.290749999999996</v>
      </c>
      <c r="BK132" s="171">
        <f t="shared" si="164"/>
        <v>0.6195426242941917</v>
      </c>
      <c r="BL132" s="171">
        <f t="shared" si="165"/>
        <v>32.910292624294186</v>
      </c>
      <c r="BM132" s="81">
        <f t="shared" si="166"/>
        <v>32.910292624294186</v>
      </c>
      <c r="BN132" s="63">
        <f t="shared" si="198"/>
        <v>38.608</v>
      </c>
      <c r="BO132" s="63">
        <f t="shared" si="167"/>
        <v>32.910292624294186</v>
      </c>
      <c r="BP132" s="63">
        <f t="shared" si="168"/>
        <v>5.697707375705811</v>
      </c>
      <c r="BQ132" s="63">
        <f t="shared" si="169"/>
        <v>0</v>
      </c>
      <c r="BR132" s="67">
        <f t="shared" si="170"/>
        <v>38.97171744356932</v>
      </c>
      <c r="BS132" s="69">
        <f ca="1" t="shared" si="199"/>
        <v>0.96</v>
      </c>
      <c r="BT132" s="66">
        <f ca="1" t="shared" si="171"/>
        <v>37.06368</v>
      </c>
      <c r="BU132" s="66">
        <f ca="1" t="shared" si="172"/>
        <v>32.910292624294186</v>
      </c>
      <c r="BV132" s="66">
        <f ca="1" t="shared" si="173"/>
        <v>4.153387375705812</v>
      </c>
      <c r="BW132" s="63">
        <f ca="1" t="shared" si="174"/>
        <v>0</v>
      </c>
      <c r="BX132" s="67">
        <f ca="1" t="shared" si="200"/>
        <v>38.20265655680616</v>
      </c>
      <c r="BY132" s="65">
        <f ca="1" t="shared" si="175"/>
        <v>-0.019733820760574616</v>
      </c>
      <c r="BZ132" s="68">
        <f ca="1" t="shared" si="201"/>
        <v>-0.05211466208817228</v>
      </c>
      <c r="CA132" s="81">
        <f t="shared" si="176"/>
        <v>38.608</v>
      </c>
      <c r="CB132" s="63">
        <f t="shared" si="177"/>
        <v>38.608</v>
      </c>
      <c r="CC132" s="67">
        <f t="shared" si="178"/>
        <v>35.90132553133049</v>
      </c>
      <c r="CD132" s="69">
        <f ca="1" t="shared" si="202"/>
        <v>0.96</v>
      </c>
      <c r="CE132" s="190">
        <f ca="1" t="shared" si="179"/>
        <v>37.06368</v>
      </c>
      <c r="CF132" s="70">
        <f ca="1" t="shared" si="180"/>
        <v>37.06368</v>
      </c>
      <c r="CG132" s="67">
        <f ca="1" t="shared" si="181"/>
        <v>39.30481757441425</v>
      </c>
      <c r="CH132" s="65">
        <f ca="1" t="shared" si="182"/>
        <v>0.09480129194989151</v>
      </c>
      <c r="CI132" s="65">
        <f ca="1" t="shared" si="203"/>
        <v>-0.024767813393102633</v>
      </c>
      <c r="CJ132" s="68">
        <f ca="1" t="shared" si="183"/>
        <v>0.02885037630744902</v>
      </c>
      <c r="CL132" s="97">
        <f ca="1" t="shared" si="204"/>
        <v>13085502.428175483</v>
      </c>
      <c r="CM132" s="97">
        <f ca="1" t="shared" si="205"/>
        <v>11909499.573225169</v>
      </c>
      <c r="CN132" s="97">
        <f ca="1" t="shared" si="206"/>
        <v>12403555.890877161</v>
      </c>
      <c r="CO132" s="97">
        <f ca="1" t="shared" si="184"/>
        <v>12761403.145879442</v>
      </c>
      <c r="CQ132" s="97">
        <f t="shared" si="207"/>
        <v>13687323.220966265</v>
      </c>
      <c r="CR132" s="97">
        <f t="shared" si="208"/>
        <v>12505319.684978422</v>
      </c>
      <c r="CS132" s="97">
        <f t="shared" si="209"/>
        <v>13180471.787457198</v>
      </c>
      <c r="CT132" s="97">
        <f t="shared" si="185"/>
        <v>12142046.574755201</v>
      </c>
      <c r="CV132" s="97">
        <f ca="1" t="shared" si="210"/>
        <v>13085502.428175483</v>
      </c>
      <c r="CW132" s="97">
        <f ca="1" t="shared" si="186"/>
        <v>11909499.573225169</v>
      </c>
      <c r="CX132" s="97">
        <f ca="1" t="shared" si="187"/>
        <v>11909499.573225169</v>
      </c>
      <c r="CY132" s="97">
        <f ca="1" t="shared" si="188"/>
        <v>12761403.145879442</v>
      </c>
    </row>
    <row r="133" spans="2:103" ht="12.75">
      <c r="B133" s="14">
        <v>10406</v>
      </c>
      <c r="C133" s="15" t="s">
        <v>132</v>
      </c>
      <c r="D133" s="16">
        <f>RHWM!D120</f>
        <v>1</v>
      </c>
      <c r="E133" s="16">
        <f>RHWM!E120</f>
        <v>0</v>
      </c>
      <c r="F133" s="18">
        <f>RHWM!M120</f>
        <v>0.663</v>
      </c>
      <c r="G133" s="18">
        <f>RHWM!N120</f>
        <v>0.668</v>
      </c>
      <c r="H133" s="18">
        <f>RHWM!O120</f>
        <v>0.458</v>
      </c>
      <c r="I133" s="18">
        <v>0.205</v>
      </c>
      <c r="J133" s="18">
        <v>0.21</v>
      </c>
      <c r="K133" s="18">
        <v>0.205</v>
      </c>
      <c r="L133" s="18">
        <v>0.21</v>
      </c>
      <c r="M133" s="18">
        <v>0</v>
      </c>
      <c r="N133" s="18">
        <v>0</v>
      </c>
      <c r="O133" s="81">
        <f t="shared" si="130"/>
        <v>0.458</v>
      </c>
      <c r="P133" s="63">
        <f t="shared" si="131"/>
        <v>0.668</v>
      </c>
      <c r="Q133" s="63">
        <f t="shared" si="132"/>
        <v>0.458</v>
      </c>
      <c r="R133" s="63">
        <f t="shared" si="133"/>
        <v>0.21000000000000002</v>
      </c>
      <c r="S133" s="63">
        <f t="shared" si="134"/>
        <v>0</v>
      </c>
      <c r="T133" s="67">
        <f t="shared" si="189"/>
        <v>43.119568020273306</v>
      </c>
      <c r="U133" s="138">
        <f ca="1" t="shared" si="190"/>
        <v>1.17</v>
      </c>
      <c r="V133" s="66">
        <f ca="1" t="shared" si="191"/>
        <v>0.78156</v>
      </c>
      <c r="W133" s="66">
        <f ca="1" t="shared" si="135"/>
        <v>0.458</v>
      </c>
      <c r="X133" s="66">
        <f ca="1" t="shared" si="136"/>
        <v>0.32356</v>
      </c>
      <c r="Y133" s="63">
        <f ca="1" t="shared" si="137"/>
        <v>0</v>
      </c>
      <c r="Z133" s="67">
        <f ca="1" t="shared" si="192"/>
        <v>46.58815261149391</v>
      </c>
      <c r="AA133" s="68">
        <f ca="1" t="shared" si="193"/>
        <v>0.08044107931669897</v>
      </c>
      <c r="AB133" s="169">
        <f t="shared" si="138"/>
        <v>0.458</v>
      </c>
      <c r="AC133" s="169">
        <f t="shared" si="139"/>
        <v>0.916</v>
      </c>
      <c r="AD133" s="169">
        <v>0</v>
      </c>
      <c r="AE133" s="171">
        <f t="shared" si="140"/>
        <v>0</v>
      </c>
      <c r="AF133" s="182">
        <v>0</v>
      </c>
      <c r="AG133" s="182">
        <f t="shared" si="141"/>
        <v>0</v>
      </c>
      <c r="AH133" s="182">
        <f t="shared" si="142"/>
        <v>0</v>
      </c>
      <c r="AI133" s="182">
        <v>0</v>
      </c>
      <c r="AJ133" s="171">
        <f t="shared" si="143"/>
        <v>0.10500000000000001</v>
      </c>
      <c r="AK133" s="171">
        <f t="shared" si="144"/>
        <v>1.0210000000000001</v>
      </c>
      <c r="AL133" s="171">
        <f t="shared" si="145"/>
        <v>0.06515819569655848</v>
      </c>
      <c r="AM133" s="171">
        <f t="shared" si="146"/>
        <v>1.0861581956965587</v>
      </c>
      <c r="AN133" s="81">
        <f t="shared" si="147"/>
        <v>1.0861581956965587</v>
      </c>
      <c r="AO133" s="63">
        <f t="shared" si="148"/>
        <v>0.668</v>
      </c>
      <c r="AP133" s="63">
        <f t="shared" si="149"/>
        <v>0.668</v>
      </c>
      <c r="AQ133" s="63">
        <f t="shared" si="150"/>
        <v>0</v>
      </c>
      <c r="AR133" s="63">
        <f t="shared" si="151"/>
        <v>0.41815819569655865</v>
      </c>
      <c r="AS133" s="67">
        <f t="shared" si="194"/>
        <v>35.5763854636149</v>
      </c>
      <c r="AT133" s="65">
        <f ca="1" t="shared" si="195"/>
        <v>1.17</v>
      </c>
      <c r="AU133" s="66">
        <f ca="1" t="shared" si="152"/>
        <v>0.78156</v>
      </c>
      <c r="AV133" s="66">
        <f ca="1" t="shared" si="153"/>
        <v>0.78156</v>
      </c>
      <c r="AW133" s="66">
        <f ca="1" t="shared" si="154"/>
        <v>0</v>
      </c>
      <c r="AX133" s="63">
        <f ca="1" t="shared" si="155"/>
        <v>0.30459819569655866</v>
      </c>
      <c r="AY133" s="67">
        <f ca="1" t="shared" si="196"/>
        <v>36.38031310262951</v>
      </c>
      <c r="AZ133" s="65">
        <f ca="1" t="shared" si="156"/>
        <v>0.0225972264618286</v>
      </c>
      <c r="BA133" s="68">
        <f ca="1" t="shared" si="197"/>
        <v>-0.21910805508836584</v>
      </c>
      <c r="BB133" s="169">
        <f t="shared" si="157"/>
        <v>0.458</v>
      </c>
      <c r="BC133" s="169">
        <f t="shared" si="158"/>
        <v>0.916</v>
      </c>
      <c r="BD133" s="169">
        <v>0</v>
      </c>
      <c r="BE133" s="171">
        <f t="shared" si="159"/>
        <v>0</v>
      </c>
      <c r="BF133" s="182">
        <v>0</v>
      </c>
      <c r="BG133" s="182">
        <f t="shared" si="160"/>
        <v>0</v>
      </c>
      <c r="BH133" s="182">
        <f t="shared" si="161"/>
        <v>0</v>
      </c>
      <c r="BI133" s="169">
        <f t="shared" si="162"/>
        <v>0.052500000000000005</v>
      </c>
      <c r="BJ133" s="171">
        <f t="shared" si="163"/>
        <v>0.9685</v>
      </c>
      <c r="BK133" s="171">
        <f t="shared" si="164"/>
        <v>0.018582009759108252</v>
      </c>
      <c r="BL133" s="171">
        <f t="shared" si="165"/>
        <v>0.9870820097591083</v>
      </c>
      <c r="BM133" s="81">
        <f t="shared" si="166"/>
        <v>0.9870820097591083</v>
      </c>
      <c r="BN133" s="63">
        <f t="shared" si="198"/>
        <v>0.668</v>
      </c>
      <c r="BO133" s="63">
        <f t="shared" si="167"/>
        <v>0.668</v>
      </c>
      <c r="BP133" s="63">
        <f t="shared" si="168"/>
        <v>0</v>
      </c>
      <c r="BQ133" s="63">
        <f t="shared" si="169"/>
        <v>0.3190820097591083</v>
      </c>
      <c r="BR133" s="67">
        <f t="shared" si="170"/>
        <v>34.790963136607154</v>
      </c>
      <c r="BS133" s="69">
        <f ca="1" t="shared" si="199"/>
        <v>1.17</v>
      </c>
      <c r="BT133" s="66">
        <f ca="1" t="shared" si="171"/>
        <v>0.78156</v>
      </c>
      <c r="BU133" s="66">
        <f ca="1" t="shared" si="172"/>
        <v>0.78156</v>
      </c>
      <c r="BV133" s="66">
        <f ca="1" t="shared" si="173"/>
        <v>0</v>
      </c>
      <c r="BW133" s="63">
        <f ca="1" t="shared" si="174"/>
        <v>0.20552200975910828</v>
      </c>
      <c r="BX133" s="67">
        <f ca="1" t="shared" si="200"/>
        <v>35.05800570624853</v>
      </c>
      <c r="BY133" s="65">
        <f ca="1" t="shared" si="175"/>
        <v>0.007675630266193778</v>
      </c>
      <c r="BZ133" s="68">
        <f ca="1" t="shared" si="201"/>
        <v>-0.24749096624193556</v>
      </c>
      <c r="CA133" s="81">
        <f t="shared" si="176"/>
        <v>0.668</v>
      </c>
      <c r="CB133" s="63">
        <f t="shared" si="177"/>
        <v>0.668</v>
      </c>
      <c r="CC133" s="67">
        <f t="shared" si="178"/>
        <v>35.90132553133049</v>
      </c>
      <c r="CD133" s="69">
        <f ca="1" t="shared" si="202"/>
        <v>1.17</v>
      </c>
      <c r="CE133" s="190">
        <f ca="1" t="shared" si="179"/>
        <v>0.78156</v>
      </c>
      <c r="CF133" s="70">
        <f ca="1" t="shared" si="180"/>
        <v>0.78156</v>
      </c>
      <c r="CG133" s="67">
        <f ca="1" t="shared" si="181"/>
        <v>39.30481757441425</v>
      </c>
      <c r="CH133" s="65">
        <f ca="1" t="shared" si="182"/>
        <v>0.09480129194989151</v>
      </c>
      <c r="CI133" s="65">
        <f ca="1" t="shared" si="203"/>
        <v>-0.1563344891096361</v>
      </c>
      <c r="CJ133" s="68">
        <f ca="1" t="shared" si="183"/>
        <v>0.12113672134546993</v>
      </c>
      <c r="CL133" s="97">
        <f ca="1" t="shared" si="204"/>
        <v>318964.1842221432</v>
      </c>
      <c r="CM133" s="97">
        <f ca="1" t="shared" si="205"/>
        <v>249076.5621743822</v>
      </c>
      <c r="CN133" s="97">
        <f ca="1" t="shared" si="206"/>
        <v>240023.43007243428</v>
      </c>
      <c r="CO133" s="97">
        <f ca="1" t="shared" si="184"/>
        <v>269099.08143750264</v>
      </c>
      <c r="CQ133" s="97">
        <f t="shared" si="207"/>
        <v>252321.91379287292</v>
      </c>
      <c r="CR133" s="97">
        <f t="shared" si="208"/>
        <v>208181.62328972603</v>
      </c>
      <c r="CS133" s="97">
        <f t="shared" si="209"/>
        <v>203585.58316722137</v>
      </c>
      <c r="CT133" s="97">
        <f t="shared" si="185"/>
        <v>210083.06858517602</v>
      </c>
      <c r="CV133" s="97">
        <f ca="1" t="shared" si="210"/>
        <v>318964.18422214326</v>
      </c>
      <c r="CW133" s="97">
        <f ca="1" t="shared" si="186"/>
        <v>249076.56217438218</v>
      </c>
      <c r="CX133" s="97">
        <f ca="1" t="shared" si="187"/>
        <v>249076.56217438218</v>
      </c>
      <c r="CY133" s="97">
        <f ca="1" t="shared" si="188"/>
        <v>269099.08143750264</v>
      </c>
    </row>
    <row r="134" spans="2:103" ht="12.75">
      <c r="B134" s="14">
        <v>10408</v>
      </c>
      <c r="C134" s="15" t="s">
        <v>133</v>
      </c>
      <c r="D134" s="16">
        <f>RHWM!D121</f>
        <v>1</v>
      </c>
      <c r="E134" s="16">
        <f>RHWM!E121</f>
        <v>0</v>
      </c>
      <c r="F134" s="18">
        <f>RHWM!M121</f>
        <v>1.639</v>
      </c>
      <c r="G134" s="18">
        <f>RHWM!N121</f>
        <v>1.638</v>
      </c>
      <c r="H134" s="18">
        <f>RHWM!O121</f>
        <v>1.527</v>
      </c>
      <c r="I134" s="18">
        <v>0.112</v>
      </c>
      <c r="J134" s="18">
        <v>0.111</v>
      </c>
      <c r="K134" s="18">
        <v>0.112</v>
      </c>
      <c r="L134" s="18">
        <v>0.111</v>
      </c>
      <c r="M134" s="18">
        <v>0</v>
      </c>
      <c r="N134" s="18">
        <v>0</v>
      </c>
      <c r="O134" s="81">
        <f t="shared" si="130"/>
        <v>1.527</v>
      </c>
      <c r="P134" s="63">
        <f t="shared" si="131"/>
        <v>1.638</v>
      </c>
      <c r="Q134" s="63">
        <f t="shared" si="132"/>
        <v>1.527</v>
      </c>
      <c r="R134" s="63">
        <f t="shared" si="133"/>
        <v>0.11099999999999999</v>
      </c>
      <c r="S134" s="63">
        <f t="shared" si="134"/>
        <v>0</v>
      </c>
      <c r="T134" s="67">
        <f t="shared" si="189"/>
        <v>35.92584929582819</v>
      </c>
      <c r="U134" s="138">
        <f ca="1" t="shared" si="190"/>
        <v>1.22</v>
      </c>
      <c r="V134" s="66">
        <f ca="1" t="shared" si="191"/>
        <v>1.99836</v>
      </c>
      <c r="W134" s="66">
        <f ca="1" t="shared" si="135"/>
        <v>1.527</v>
      </c>
      <c r="X134" s="66">
        <f ca="1" t="shared" si="136"/>
        <v>0.47136</v>
      </c>
      <c r="Y134" s="63">
        <f ca="1" t="shared" si="137"/>
        <v>0</v>
      </c>
      <c r="Z134" s="67">
        <f ca="1" t="shared" si="192"/>
        <v>41.563237215591926</v>
      </c>
      <c r="AA134" s="68">
        <f ca="1" t="shared" si="193"/>
        <v>0.15691731803869602</v>
      </c>
      <c r="AB134" s="169">
        <f t="shared" si="138"/>
        <v>1.527</v>
      </c>
      <c r="AC134" s="169">
        <f t="shared" si="139"/>
        <v>3.054</v>
      </c>
      <c r="AD134" s="169">
        <v>0</v>
      </c>
      <c r="AE134" s="171">
        <f t="shared" si="140"/>
        <v>0</v>
      </c>
      <c r="AF134" s="182">
        <v>0</v>
      </c>
      <c r="AG134" s="182">
        <f t="shared" si="141"/>
        <v>0</v>
      </c>
      <c r="AH134" s="182">
        <f t="shared" si="142"/>
        <v>0</v>
      </c>
      <c r="AI134" s="182">
        <v>0</v>
      </c>
      <c r="AJ134" s="171">
        <f t="shared" si="143"/>
        <v>0.055499999999999994</v>
      </c>
      <c r="AK134" s="171">
        <f t="shared" si="144"/>
        <v>3.1094999999999997</v>
      </c>
      <c r="AL134" s="171">
        <f t="shared" si="145"/>
        <v>0.1984421248956401</v>
      </c>
      <c r="AM134" s="171">
        <f t="shared" si="146"/>
        <v>3.3079421248956398</v>
      </c>
      <c r="AN134" s="81">
        <f t="shared" si="147"/>
        <v>3.3079421248956398</v>
      </c>
      <c r="AO134" s="63">
        <f t="shared" si="148"/>
        <v>1.638</v>
      </c>
      <c r="AP134" s="63">
        <f t="shared" si="149"/>
        <v>1.638</v>
      </c>
      <c r="AQ134" s="63">
        <f t="shared" si="150"/>
        <v>0</v>
      </c>
      <c r="AR134" s="63">
        <f t="shared" si="151"/>
        <v>1.6699421248956399</v>
      </c>
      <c r="AS134" s="67">
        <f t="shared" si="194"/>
        <v>35.5763854636149</v>
      </c>
      <c r="AT134" s="65">
        <f ca="1" t="shared" si="195"/>
        <v>1.22</v>
      </c>
      <c r="AU134" s="66">
        <f ca="1" t="shared" si="152"/>
        <v>1.99836</v>
      </c>
      <c r="AV134" s="66">
        <f ca="1" t="shared" si="153"/>
        <v>1.99836</v>
      </c>
      <c r="AW134" s="66">
        <f ca="1" t="shared" si="154"/>
        <v>0</v>
      </c>
      <c r="AX134" s="63">
        <f ca="1" t="shared" si="155"/>
        <v>1.3095821248956399</v>
      </c>
      <c r="AY134" s="67">
        <f ca="1" t="shared" si="196"/>
        <v>36.38031310262951</v>
      </c>
      <c r="AZ134" s="65">
        <f ca="1" t="shared" si="156"/>
        <v>0.0225972264618286</v>
      </c>
      <c r="BA134" s="68">
        <f ca="1" t="shared" si="197"/>
        <v>-0.12469972168140231</v>
      </c>
      <c r="BB134" s="169">
        <f t="shared" si="157"/>
        <v>1.527</v>
      </c>
      <c r="BC134" s="169">
        <f t="shared" si="158"/>
        <v>3.054</v>
      </c>
      <c r="BD134" s="169">
        <v>0</v>
      </c>
      <c r="BE134" s="171">
        <f t="shared" si="159"/>
        <v>0</v>
      </c>
      <c r="BF134" s="182">
        <v>0</v>
      </c>
      <c r="BG134" s="182">
        <f t="shared" si="160"/>
        <v>0</v>
      </c>
      <c r="BH134" s="182">
        <f t="shared" si="161"/>
        <v>0</v>
      </c>
      <c r="BI134" s="169">
        <f t="shared" si="162"/>
        <v>0.027749999999999997</v>
      </c>
      <c r="BJ134" s="171">
        <f t="shared" si="163"/>
        <v>3.08175</v>
      </c>
      <c r="BK134" s="171">
        <f t="shared" si="164"/>
        <v>0.05912762888500966</v>
      </c>
      <c r="BL134" s="171">
        <f t="shared" si="165"/>
        <v>3.1408776288850095</v>
      </c>
      <c r="BM134" s="81">
        <f t="shared" si="166"/>
        <v>3.1408776288850095</v>
      </c>
      <c r="BN134" s="63">
        <f t="shared" si="198"/>
        <v>1.638</v>
      </c>
      <c r="BO134" s="63">
        <f t="shared" si="167"/>
        <v>1.638</v>
      </c>
      <c r="BP134" s="63">
        <f t="shared" si="168"/>
        <v>0</v>
      </c>
      <c r="BQ134" s="63">
        <f t="shared" si="169"/>
        <v>1.5028776288850096</v>
      </c>
      <c r="BR134" s="67">
        <f t="shared" si="170"/>
        <v>34.790963136607154</v>
      </c>
      <c r="BS134" s="69">
        <f ca="1" t="shared" si="199"/>
        <v>1.22</v>
      </c>
      <c r="BT134" s="66">
        <f ca="1" t="shared" si="171"/>
        <v>1.99836</v>
      </c>
      <c r="BU134" s="66">
        <f ca="1" t="shared" si="172"/>
        <v>1.99836</v>
      </c>
      <c r="BV134" s="66">
        <f ca="1" t="shared" si="173"/>
        <v>0</v>
      </c>
      <c r="BW134" s="63">
        <f ca="1" t="shared" si="174"/>
        <v>1.1425176288850096</v>
      </c>
      <c r="BX134" s="67">
        <f ca="1" t="shared" si="200"/>
        <v>35.05800570624853</v>
      </c>
      <c r="BY134" s="65">
        <f ca="1" t="shared" si="175"/>
        <v>0.007675630266193778</v>
      </c>
      <c r="BZ134" s="68">
        <f ca="1" t="shared" si="201"/>
        <v>-0.15651407217393165</v>
      </c>
      <c r="CA134" s="81">
        <f t="shared" si="176"/>
        <v>1.638</v>
      </c>
      <c r="CB134" s="63">
        <f t="shared" si="177"/>
        <v>1.638</v>
      </c>
      <c r="CC134" s="67">
        <f t="shared" si="178"/>
        <v>35.90132553133049</v>
      </c>
      <c r="CD134" s="69">
        <f ca="1" t="shared" si="202"/>
        <v>1.22</v>
      </c>
      <c r="CE134" s="190">
        <f ca="1" t="shared" si="179"/>
        <v>1.99836</v>
      </c>
      <c r="CF134" s="70">
        <f ca="1" t="shared" si="180"/>
        <v>1.99836</v>
      </c>
      <c r="CG134" s="67">
        <f ca="1" t="shared" si="181"/>
        <v>39.30481757441425</v>
      </c>
      <c r="CH134" s="65">
        <f ca="1" t="shared" si="182"/>
        <v>0.09480129194989151</v>
      </c>
      <c r="CI134" s="65">
        <f ca="1" t="shared" si="203"/>
        <v>-0.05433695237604008</v>
      </c>
      <c r="CJ134" s="68">
        <f ca="1" t="shared" si="183"/>
        <v>0.12113672134546993</v>
      </c>
      <c r="CL134" s="97">
        <f ca="1" t="shared" si="204"/>
        <v>727590.8019260364</v>
      </c>
      <c r="CM134" s="97">
        <f ca="1" t="shared" si="205"/>
        <v>636860.4314279113</v>
      </c>
      <c r="CN134" s="97">
        <f ca="1" t="shared" si="206"/>
        <v>613712.602640296</v>
      </c>
      <c r="CO134" s="97">
        <f ca="1" t="shared" si="184"/>
        <v>688055.7351725366</v>
      </c>
      <c r="CQ134" s="97">
        <f t="shared" si="207"/>
        <v>515495.70044392324</v>
      </c>
      <c r="CR134" s="97">
        <f t="shared" si="208"/>
        <v>510481.2858511545</v>
      </c>
      <c r="CS134" s="97">
        <f t="shared" si="209"/>
        <v>499211.35513159964</v>
      </c>
      <c r="CT134" s="97">
        <f t="shared" si="185"/>
        <v>515143.81188999745</v>
      </c>
      <c r="CV134" s="97">
        <f ca="1" t="shared" si="210"/>
        <v>727590.8019260364</v>
      </c>
      <c r="CW134" s="97">
        <f ca="1" t="shared" si="186"/>
        <v>636860.4314279113</v>
      </c>
      <c r="CX134" s="97">
        <f ca="1" t="shared" si="187"/>
        <v>636860.4314279113</v>
      </c>
      <c r="CY134" s="97">
        <f ca="1" t="shared" si="188"/>
        <v>688055.7351725366</v>
      </c>
    </row>
    <row r="135" spans="2:103" ht="12.75">
      <c r="B135" s="14">
        <v>10409</v>
      </c>
      <c r="C135" s="15" t="s">
        <v>134</v>
      </c>
      <c r="D135" s="16">
        <f>RHWM!D122</f>
        <v>1</v>
      </c>
      <c r="E135" s="16">
        <f>RHWM!E122</f>
        <v>0</v>
      </c>
      <c r="F135" s="18">
        <f>RHWM!M122</f>
        <v>26.706</v>
      </c>
      <c r="G135" s="18">
        <f>RHWM!N122</f>
        <v>26.702</v>
      </c>
      <c r="H135" s="18">
        <f>RHWM!O122</f>
        <v>20.421</v>
      </c>
      <c r="I135" s="18">
        <v>6.285</v>
      </c>
      <c r="J135" s="18">
        <v>6.281</v>
      </c>
      <c r="K135" s="18">
        <v>0</v>
      </c>
      <c r="L135" s="18">
        <v>0</v>
      </c>
      <c r="M135" s="18">
        <v>6.285</v>
      </c>
      <c r="N135" s="18">
        <v>6.281</v>
      </c>
      <c r="O135" s="81">
        <f t="shared" si="130"/>
        <v>20.421</v>
      </c>
      <c r="P135" s="63">
        <f t="shared" si="131"/>
        <v>26.702</v>
      </c>
      <c r="Q135" s="63">
        <f t="shared" si="132"/>
        <v>20.421</v>
      </c>
      <c r="R135" s="63">
        <f t="shared" si="133"/>
        <v>6.281000000000002</v>
      </c>
      <c r="S135" s="63">
        <f t="shared" si="134"/>
        <v>0</v>
      </c>
      <c r="T135" s="67">
        <f t="shared" si="189"/>
        <v>40.8108217190326</v>
      </c>
      <c r="U135" s="138">
        <f ca="1" t="shared" si="190"/>
        <v>1.13</v>
      </c>
      <c r="V135" s="66">
        <f ca="1" t="shared" si="191"/>
        <v>30.17326</v>
      </c>
      <c r="W135" s="66">
        <f ca="1" t="shared" si="135"/>
        <v>20.421</v>
      </c>
      <c r="X135" s="66">
        <f ca="1" t="shared" si="136"/>
        <v>9.75226</v>
      </c>
      <c r="Y135" s="63">
        <f ca="1" t="shared" si="137"/>
        <v>0</v>
      </c>
      <c r="Z135" s="67">
        <f ca="1" t="shared" si="192"/>
        <v>44.02705137401809</v>
      </c>
      <c r="AA135" s="68">
        <f ca="1" t="shared" si="193"/>
        <v>0.07880825524974822</v>
      </c>
      <c r="AB135" s="169">
        <f t="shared" si="138"/>
        <v>20.421</v>
      </c>
      <c r="AC135" s="169">
        <f t="shared" si="139"/>
        <v>20.421</v>
      </c>
      <c r="AD135" s="169">
        <v>0</v>
      </c>
      <c r="AE135" s="171">
        <f t="shared" si="140"/>
        <v>0</v>
      </c>
      <c r="AF135" s="182">
        <v>0</v>
      </c>
      <c r="AG135" s="182">
        <f t="shared" si="141"/>
        <v>0</v>
      </c>
      <c r="AH135" s="182">
        <f t="shared" si="142"/>
        <v>0</v>
      </c>
      <c r="AI135" s="182">
        <v>0</v>
      </c>
      <c r="AJ135" s="171">
        <f t="shared" si="143"/>
        <v>3.140500000000001</v>
      </c>
      <c r="AK135" s="171">
        <f t="shared" si="144"/>
        <v>23.561500000000002</v>
      </c>
      <c r="AL135" s="171">
        <f t="shared" si="145"/>
        <v>1.5036482153814519</v>
      </c>
      <c r="AM135" s="171">
        <f t="shared" si="146"/>
        <v>25.065148215381456</v>
      </c>
      <c r="AN135" s="81">
        <f t="shared" si="147"/>
        <v>25.065148215381456</v>
      </c>
      <c r="AO135" s="63">
        <f t="shared" si="148"/>
        <v>26.702</v>
      </c>
      <c r="AP135" s="63">
        <f t="shared" si="149"/>
        <v>25.065148215381456</v>
      </c>
      <c r="AQ135" s="63">
        <f t="shared" si="150"/>
        <v>1.6368517846185462</v>
      </c>
      <c r="AR135" s="63">
        <f t="shared" si="151"/>
        <v>0</v>
      </c>
      <c r="AS135" s="67">
        <f t="shared" si="194"/>
        <v>37.264828823989674</v>
      </c>
      <c r="AT135" s="65">
        <f ca="1" t="shared" si="195"/>
        <v>1.13</v>
      </c>
      <c r="AU135" s="66">
        <f ca="1" t="shared" si="152"/>
        <v>30.17326</v>
      </c>
      <c r="AV135" s="66">
        <f ca="1" t="shared" si="153"/>
        <v>25.065148215381456</v>
      </c>
      <c r="AW135" s="66">
        <f ca="1" t="shared" si="154"/>
        <v>5.1081117846185435</v>
      </c>
      <c r="AX135" s="63">
        <f ca="1" t="shared" si="155"/>
        <v>0</v>
      </c>
      <c r="AY135" s="67">
        <f ca="1" t="shared" si="196"/>
        <v>40.90714612489718</v>
      </c>
      <c r="AZ135" s="65">
        <f ca="1" t="shared" si="156"/>
        <v>0.09774142041845968</v>
      </c>
      <c r="BA135" s="68">
        <f ca="1" t="shared" si="197"/>
        <v>-0.07086337039963742</v>
      </c>
      <c r="BB135" s="169">
        <f t="shared" si="157"/>
        <v>20.421</v>
      </c>
      <c r="BC135" s="169">
        <f t="shared" si="158"/>
        <v>20.421</v>
      </c>
      <c r="BD135" s="169">
        <v>0</v>
      </c>
      <c r="BE135" s="171">
        <f t="shared" si="159"/>
        <v>0</v>
      </c>
      <c r="BF135" s="182">
        <v>0</v>
      </c>
      <c r="BG135" s="182">
        <f t="shared" si="160"/>
        <v>0</v>
      </c>
      <c r="BH135" s="182">
        <f t="shared" si="161"/>
        <v>0</v>
      </c>
      <c r="BI135" s="169">
        <f t="shared" si="162"/>
        <v>1.5702500000000006</v>
      </c>
      <c r="BJ135" s="171">
        <f t="shared" si="163"/>
        <v>21.99125</v>
      </c>
      <c r="BK135" s="171">
        <f t="shared" si="164"/>
        <v>0.4219324957305001</v>
      </c>
      <c r="BL135" s="171">
        <f t="shared" si="165"/>
        <v>22.4131824957305</v>
      </c>
      <c r="BM135" s="81">
        <f t="shared" si="166"/>
        <v>22.4131824957305</v>
      </c>
      <c r="BN135" s="63">
        <f t="shared" si="198"/>
        <v>26.702</v>
      </c>
      <c r="BO135" s="63">
        <f t="shared" si="167"/>
        <v>22.4131824957305</v>
      </c>
      <c r="BP135" s="63">
        <f t="shared" si="168"/>
        <v>4.2888175042695025</v>
      </c>
      <c r="BQ135" s="63">
        <f t="shared" si="169"/>
        <v>0</v>
      </c>
      <c r="BR135" s="67">
        <f t="shared" si="170"/>
        <v>39.34111178385512</v>
      </c>
      <c r="BS135" s="69">
        <f ca="1" t="shared" si="199"/>
        <v>1.13</v>
      </c>
      <c r="BT135" s="66">
        <f ca="1" t="shared" si="171"/>
        <v>30.17326</v>
      </c>
      <c r="BU135" s="66">
        <f ca="1" t="shared" si="172"/>
        <v>22.4131824957305</v>
      </c>
      <c r="BV135" s="66">
        <f ca="1" t="shared" si="173"/>
        <v>7.7600775042695</v>
      </c>
      <c r="BW135" s="63">
        <f ca="1" t="shared" si="174"/>
        <v>0</v>
      </c>
      <c r="BX135" s="67">
        <f ca="1" t="shared" si="200"/>
        <v>42.27509960474938</v>
      </c>
      <c r="BY135" s="65">
        <f ca="1" t="shared" si="175"/>
        <v>0.07457816233089565</v>
      </c>
      <c r="BZ135" s="68">
        <f ca="1" t="shared" si="201"/>
        <v>-0.03979262100442649</v>
      </c>
      <c r="CA135" s="81">
        <f t="shared" si="176"/>
        <v>26.702</v>
      </c>
      <c r="CB135" s="63">
        <f t="shared" si="177"/>
        <v>26.702</v>
      </c>
      <c r="CC135" s="67">
        <f t="shared" si="178"/>
        <v>35.90132553133049</v>
      </c>
      <c r="CD135" s="69">
        <f ca="1" t="shared" si="202"/>
        <v>1.13</v>
      </c>
      <c r="CE135" s="190">
        <f ca="1" t="shared" si="179"/>
        <v>30.17326</v>
      </c>
      <c r="CF135" s="70">
        <f ca="1" t="shared" si="180"/>
        <v>30.17326</v>
      </c>
      <c r="CG135" s="67">
        <f ca="1" t="shared" si="181"/>
        <v>39.30481757441425</v>
      </c>
      <c r="CH135" s="65">
        <f ca="1" t="shared" si="182"/>
        <v>0.09480129194989151</v>
      </c>
      <c r="CI135" s="65">
        <f ca="1" t="shared" si="203"/>
        <v>-0.10725755307771068</v>
      </c>
      <c r="CJ135" s="68">
        <f ca="1" t="shared" si="183"/>
        <v>-0.0702607931880882</v>
      </c>
      <c r="CL135" s="97">
        <f ca="1" t="shared" si="204"/>
        <v>11637131.49292046</v>
      </c>
      <c r="CM135" s="97">
        <f ca="1" t="shared" si="205"/>
        <v>10812485.133548353</v>
      </c>
      <c r="CN135" s="97">
        <f ca="1" t="shared" si="206"/>
        <v>11174059.529844003</v>
      </c>
      <c r="CO135" s="97">
        <f ca="1" t="shared" si="184"/>
        <v>10388961.244146246</v>
      </c>
      <c r="CQ135" s="97">
        <f t="shared" si="207"/>
        <v>9546039.719104491</v>
      </c>
      <c r="CR135" s="97">
        <f t="shared" si="208"/>
        <v>8716598.22310159</v>
      </c>
      <c r="CS135" s="97">
        <f t="shared" si="209"/>
        <v>9202260.573627897</v>
      </c>
      <c r="CT135" s="97">
        <f t="shared" si="185"/>
        <v>8397661.822397262</v>
      </c>
      <c r="CV135" s="97">
        <f ca="1" t="shared" si="210"/>
        <v>11637131.492920462</v>
      </c>
      <c r="CW135" s="97">
        <f ca="1" t="shared" si="186"/>
        <v>10812485.133548351</v>
      </c>
      <c r="CX135" s="97">
        <f ca="1" t="shared" si="187"/>
        <v>10812485.133548351</v>
      </c>
      <c r="CY135" s="97">
        <f ca="1" t="shared" si="188"/>
        <v>10388961.244146245</v>
      </c>
    </row>
    <row r="136" spans="2:103" ht="12.75">
      <c r="B136" s="14">
        <v>10426</v>
      </c>
      <c r="C136" s="15" t="s">
        <v>135</v>
      </c>
      <c r="D136" s="16">
        <f>RHWM!D123</f>
        <v>1</v>
      </c>
      <c r="E136" s="16">
        <f>RHWM!E123</f>
        <v>0</v>
      </c>
      <c r="F136" s="18">
        <f>RHWM!M123</f>
        <v>31.696</v>
      </c>
      <c r="G136" s="18">
        <f>RHWM!N123</f>
        <v>37.084</v>
      </c>
      <c r="H136" s="18">
        <f>RHWM!O123</f>
        <v>36.539</v>
      </c>
      <c r="I136" s="18">
        <v>0</v>
      </c>
      <c r="J136" s="18">
        <v>0.545</v>
      </c>
      <c r="K136" s="18">
        <v>0</v>
      </c>
      <c r="L136" s="18">
        <v>0.545</v>
      </c>
      <c r="M136" s="18">
        <v>0</v>
      </c>
      <c r="N136" s="18">
        <v>0</v>
      </c>
      <c r="O136" s="81">
        <f t="shared" si="130"/>
        <v>36.539</v>
      </c>
      <c r="P136" s="63">
        <f t="shared" si="131"/>
        <v>37.084</v>
      </c>
      <c r="Q136" s="63">
        <f t="shared" si="132"/>
        <v>36.539</v>
      </c>
      <c r="R136" s="63">
        <f t="shared" si="133"/>
        <v>0.5450000000000017</v>
      </c>
      <c r="S136" s="63">
        <f t="shared" si="134"/>
        <v>0</v>
      </c>
      <c r="T136" s="67">
        <f t="shared" si="189"/>
        <v>34.37777099319707</v>
      </c>
      <c r="U136" s="138">
        <f ca="1" t="shared" si="190"/>
        <v>1.3</v>
      </c>
      <c r="V136" s="66">
        <f ca="1" t="shared" si="191"/>
        <v>48.2092</v>
      </c>
      <c r="W136" s="66">
        <f ca="1" t="shared" si="135"/>
        <v>36.539</v>
      </c>
      <c r="X136" s="66">
        <f ca="1" t="shared" si="136"/>
        <v>11.670200000000001</v>
      </c>
      <c r="Y136" s="63">
        <f ca="1" t="shared" si="137"/>
        <v>0</v>
      </c>
      <c r="Z136" s="67">
        <f ca="1" t="shared" si="192"/>
        <v>41.73816536638591</v>
      </c>
      <c r="AA136" s="68">
        <f ca="1" t="shared" si="193"/>
        <v>0.21410330456402682</v>
      </c>
      <c r="AB136" s="169">
        <f t="shared" si="138"/>
        <v>36.539</v>
      </c>
      <c r="AC136" s="169">
        <f t="shared" si="139"/>
        <v>36.539</v>
      </c>
      <c r="AD136" s="169">
        <v>0</v>
      </c>
      <c r="AE136" s="171">
        <f t="shared" si="140"/>
        <v>0</v>
      </c>
      <c r="AF136" s="182">
        <v>0</v>
      </c>
      <c r="AG136" s="182">
        <f t="shared" si="141"/>
        <v>0</v>
      </c>
      <c r="AH136" s="182">
        <f t="shared" si="142"/>
        <v>0</v>
      </c>
      <c r="AI136" s="182">
        <v>0</v>
      </c>
      <c r="AJ136" s="171">
        <f t="shared" si="143"/>
        <v>0.27250000000000085</v>
      </c>
      <c r="AK136" s="171">
        <f t="shared" si="144"/>
        <v>36.8115</v>
      </c>
      <c r="AL136" s="171">
        <f t="shared" si="145"/>
        <v>2.349236945038063</v>
      </c>
      <c r="AM136" s="171">
        <f t="shared" si="146"/>
        <v>39.16073694503807</v>
      </c>
      <c r="AN136" s="81">
        <f t="shared" si="147"/>
        <v>39.16073694503807</v>
      </c>
      <c r="AO136" s="63">
        <f t="shared" si="148"/>
        <v>37.084</v>
      </c>
      <c r="AP136" s="63">
        <f t="shared" si="149"/>
        <v>37.084</v>
      </c>
      <c r="AQ136" s="63">
        <f t="shared" si="150"/>
        <v>0</v>
      </c>
      <c r="AR136" s="63">
        <f t="shared" si="151"/>
        <v>2.076736945038064</v>
      </c>
      <c r="AS136" s="67">
        <f t="shared" si="194"/>
        <v>35.5763854636149</v>
      </c>
      <c r="AT136" s="65">
        <f ca="1" t="shared" si="195"/>
        <v>1.3</v>
      </c>
      <c r="AU136" s="66">
        <f ca="1" t="shared" si="152"/>
        <v>48.2092</v>
      </c>
      <c r="AV136" s="66">
        <f ca="1" t="shared" si="153"/>
        <v>39.16073694503807</v>
      </c>
      <c r="AW136" s="66">
        <f ca="1" t="shared" si="154"/>
        <v>9.048463054961935</v>
      </c>
      <c r="AX136" s="63">
        <f ca="1" t="shared" si="155"/>
        <v>0</v>
      </c>
      <c r="AY136" s="67">
        <f ca="1" t="shared" si="196"/>
        <v>41.39912837009104</v>
      </c>
      <c r="AZ136" s="65">
        <f ca="1" t="shared" si="156"/>
        <v>0.16366876034754152</v>
      </c>
      <c r="BA136" s="68">
        <f ca="1" t="shared" si="197"/>
        <v>-0.008122949183768213</v>
      </c>
      <c r="BB136" s="169">
        <f t="shared" si="157"/>
        <v>36.539</v>
      </c>
      <c r="BC136" s="169">
        <f t="shared" si="158"/>
        <v>36.539</v>
      </c>
      <c r="BD136" s="169">
        <v>0</v>
      </c>
      <c r="BE136" s="171">
        <f t="shared" si="159"/>
        <v>0</v>
      </c>
      <c r="BF136" s="182">
        <v>0</v>
      </c>
      <c r="BG136" s="182">
        <f t="shared" si="160"/>
        <v>0</v>
      </c>
      <c r="BH136" s="182">
        <f t="shared" si="161"/>
        <v>0</v>
      </c>
      <c r="BI136" s="169">
        <f t="shared" si="162"/>
        <v>0.13625000000000043</v>
      </c>
      <c r="BJ136" s="171">
        <f t="shared" si="163"/>
        <v>36.675250000000005</v>
      </c>
      <c r="BK136" s="171">
        <f t="shared" si="164"/>
        <v>0.7036653107049406</v>
      </c>
      <c r="BL136" s="171">
        <f t="shared" si="165"/>
        <v>37.37891531070495</v>
      </c>
      <c r="BM136" s="81">
        <f t="shared" si="166"/>
        <v>37.37891531070495</v>
      </c>
      <c r="BN136" s="63">
        <f t="shared" si="198"/>
        <v>37.084</v>
      </c>
      <c r="BO136" s="63">
        <f t="shared" si="167"/>
        <v>37.084</v>
      </c>
      <c r="BP136" s="63">
        <f t="shared" si="168"/>
        <v>0</v>
      </c>
      <c r="BQ136" s="63">
        <f t="shared" si="169"/>
        <v>0.29491531070494403</v>
      </c>
      <c r="BR136" s="67">
        <f t="shared" si="170"/>
        <v>34.790963136607154</v>
      </c>
      <c r="BS136" s="69">
        <f ca="1" t="shared" si="199"/>
        <v>1.3</v>
      </c>
      <c r="BT136" s="66">
        <f ca="1" t="shared" si="171"/>
        <v>48.2092</v>
      </c>
      <c r="BU136" s="66">
        <f ca="1" t="shared" si="172"/>
        <v>37.37891531070495</v>
      </c>
      <c r="BV136" s="66">
        <f ca="1" t="shared" si="173"/>
        <v>10.830284689295056</v>
      </c>
      <c r="BW136" s="63">
        <f ca="1" t="shared" si="174"/>
        <v>0</v>
      </c>
      <c r="BX136" s="67">
        <f ca="1" t="shared" si="200"/>
        <v>41.36218389528095</v>
      </c>
      <c r="BY136" s="65">
        <f ca="1" t="shared" si="175"/>
        <v>0.18887723035639503</v>
      </c>
      <c r="BZ136" s="68">
        <f ca="1" t="shared" si="201"/>
        <v>-0.009008097691992845</v>
      </c>
      <c r="CA136" s="81">
        <f t="shared" si="176"/>
        <v>37.084</v>
      </c>
      <c r="CB136" s="63">
        <f t="shared" si="177"/>
        <v>37.084</v>
      </c>
      <c r="CC136" s="67">
        <f t="shared" si="178"/>
        <v>35.90132553133049</v>
      </c>
      <c r="CD136" s="69">
        <f ca="1" t="shared" si="202"/>
        <v>1.3</v>
      </c>
      <c r="CE136" s="190">
        <f ca="1" t="shared" si="179"/>
        <v>48.2092</v>
      </c>
      <c r="CF136" s="70">
        <f ca="1" t="shared" si="180"/>
        <v>48.2092</v>
      </c>
      <c r="CG136" s="67">
        <f ca="1" t="shared" si="181"/>
        <v>39.30481757441425</v>
      </c>
      <c r="CH136" s="65">
        <f ca="1" t="shared" si="182"/>
        <v>0.09480129194989151</v>
      </c>
      <c r="CI136" s="65">
        <f ca="1" t="shared" si="203"/>
        <v>-0.05830030550243992</v>
      </c>
      <c r="CJ136" s="68">
        <f ca="1" t="shared" si="183"/>
        <v>-0.04974027304930162</v>
      </c>
      <c r="CL136" s="97">
        <f ca="1" t="shared" si="204"/>
        <v>17626552.801203065</v>
      </c>
      <c r="CM136" s="97">
        <f ca="1" t="shared" si="205"/>
        <v>17483373.208513886</v>
      </c>
      <c r="CN136" s="97">
        <f ca="1" t="shared" si="206"/>
        <v>17467771.091596756</v>
      </c>
      <c r="CO136" s="97">
        <f ca="1" t="shared" si="184"/>
        <v>16598919.387938036</v>
      </c>
      <c r="CQ136" s="97">
        <f t="shared" si="207"/>
        <v>11167819.673322668</v>
      </c>
      <c r="CR136" s="97">
        <f t="shared" si="208"/>
        <v>11557196.583946409</v>
      </c>
      <c r="CS136" s="97">
        <f t="shared" si="209"/>
        <v>11302047.554151552</v>
      </c>
      <c r="CT136" s="97">
        <f t="shared" si="185"/>
        <v>11662755.262593815</v>
      </c>
      <c r="CV136" s="97">
        <f ca="1" t="shared" si="210"/>
        <v>17626552.80120306</v>
      </c>
      <c r="CW136" s="97">
        <f ca="1" t="shared" si="186"/>
        <v>17483373.208513882</v>
      </c>
      <c r="CX136" s="97">
        <f ca="1" t="shared" si="187"/>
        <v>17483373.208513882</v>
      </c>
      <c r="CY136" s="97">
        <f ca="1" t="shared" si="188"/>
        <v>16598919.387938036</v>
      </c>
    </row>
    <row r="137" spans="2:103" ht="12.75">
      <c r="B137" s="14">
        <v>10434</v>
      </c>
      <c r="C137" s="15" t="s">
        <v>136</v>
      </c>
      <c r="D137" s="16">
        <f>RHWM!D124</f>
        <v>1</v>
      </c>
      <c r="E137" s="16">
        <f>RHWM!E124</f>
        <v>0</v>
      </c>
      <c r="F137" s="18">
        <f>RHWM!M124</f>
        <v>27.193</v>
      </c>
      <c r="G137" s="18">
        <f>RHWM!N124</f>
        <v>27.383</v>
      </c>
      <c r="H137" s="18">
        <f>RHWM!O124</f>
        <v>27.157</v>
      </c>
      <c r="I137" s="18">
        <v>0.036</v>
      </c>
      <c r="J137" s="18">
        <v>0.226</v>
      </c>
      <c r="K137" s="18">
        <v>0.036</v>
      </c>
      <c r="L137" s="18">
        <v>0.226</v>
      </c>
      <c r="M137" s="18">
        <v>0</v>
      </c>
      <c r="N137" s="18">
        <v>0</v>
      </c>
      <c r="O137" s="81">
        <f t="shared" si="130"/>
        <v>27.157</v>
      </c>
      <c r="P137" s="63">
        <f t="shared" si="131"/>
        <v>27.383</v>
      </c>
      <c r="Q137" s="63">
        <f t="shared" si="132"/>
        <v>27.157</v>
      </c>
      <c r="R137" s="63">
        <f t="shared" si="133"/>
        <v>0.2259999999999991</v>
      </c>
      <c r="S137" s="63">
        <f t="shared" si="134"/>
        <v>0</v>
      </c>
      <c r="T137" s="67">
        <f t="shared" si="189"/>
        <v>34.18982063659994</v>
      </c>
      <c r="U137" s="138">
        <f ca="1" t="shared" si="190"/>
        <v>1.21</v>
      </c>
      <c r="V137" s="66">
        <f ca="1" t="shared" si="191"/>
        <v>33.13343</v>
      </c>
      <c r="W137" s="66">
        <f ca="1" t="shared" si="135"/>
        <v>27.157</v>
      </c>
      <c r="X137" s="66">
        <f ca="1" t="shared" si="136"/>
        <v>5.976429999999997</v>
      </c>
      <c r="Y137" s="63">
        <f ca="1" t="shared" si="137"/>
        <v>0</v>
      </c>
      <c r="Z137" s="67">
        <f ca="1" t="shared" si="192"/>
        <v>39.99756169872186</v>
      </c>
      <c r="AA137" s="68">
        <f ca="1" t="shared" si="193"/>
        <v>0.1698675498725717</v>
      </c>
      <c r="AB137" s="169">
        <f t="shared" si="138"/>
        <v>27.157</v>
      </c>
      <c r="AC137" s="169">
        <f t="shared" si="139"/>
        <v>27.157</v>
      </c>
      <c r="AD137" s="169">
        <v>0</v>
      </c>
      <c r="AE137" s="171">
        <f t="shared" si="140"/>
        <v>0</v>
      </c>
      <c r="AF137" s="182">
        <v>0</v>
      </c>
      <c r="AG137" s="182">
        <f t="shared" si="141"/>
        <v>0</v>
      </c>
      <c r="AH137" s="182">
        <f t="shared" si="142"/>
        <v>0</v>
      </c>
      <c r="AI137" s="182">
        <v>0</v>
      </c>
      <c r="AJ137" s="171">
        <f t="shared" si="143"/>
        <v>0.11299999999999955</v>
      </c>
      <c r="AK137" s="171">
        <f t="shared" si="144"/>
        <v>27.27</v>
      </c>
      <c r="AL137" s="171">
        <f t="shared" si="145"/>
        <v>1.740317332659304</v>
      </c>
      <c r="AM137" s="171">
        <f t="shared" si="146"/>
        <v>29.010317332659305</v>
      </c>
      <c r="AN137" s="81">
        <f t="shared" si="147"/>
        <v>29.010317332659305</v>
      </c>
      <c r="AO137" s="63">
        <f t="shared" si="148"/>
        <v>27.383</v>
      </c>
      <c r="AP137" s="63">
        <f t="shared" si="149"/>
        <v>27.383</v>
      </c>
      <c r="AQ137" s="63">
        <f t="shared" si="150"/>
        <v>0</v>
      </c>
      <c r="AR137" s="63">
        <f t="shared" si="151"/>
        <v>1.627317332659306</v>
      </c>
      <c r="AS137" s="67">
        <f t="shared" si="194"/>
        <v>35.5763854636149</v>
      </c>
      <c r="AT137" s="65">
        <f ca="1" t="shared" si="195"/>
        <v>1.21</v>
      </c>
      <c r="AU137" s="66">
        <f ca="1" t="shared" si="152"/>
        <v>33.13343</v>
      </c>
      <c r="AV137" s="66">
        <f ca="1" t="shared" si="153"/>
        <v>29.010317332659305</v>
      </c>
      <c r="AW137" s="66">
        <f ca="1" t="shared" si="154"/>
        <v>4.123112667340692</v>
      </c>
      <c r="AX137" s="63">
        <f ca="1" t="shared" si="155"/>
        <v>0</v>
      </c>
      <c r="AY137" s="67">
        <f ca="1" t="shared" si="196"/>
        <v>39.70779057077187</v>
      </c>
      <c r="AZ137" s="65">
        <f ca="1" t="shared" si="156"/>
        <v>0.11612773623060413</v>
      </c>
      <c r="BA137" s="68">
        <f ca="1" t="shared" si="197"/>
        <v>-0.0072447198189896644</v>
      </c>
      <c r="BB137" s="169">
        <f t="shared" si="157"/>
        <v>27.157</v>
      </c>
      <c r="BC137" s="169">
        <f t="shared" si="158"/>
        <v>27.157</v>
      </c>
      <c r="BD137" s="169">
        <v>0</v>
      </c>
      <c r="BE137" s="171">
        <f t="shared" si="159"/>
        <v>0</v>
      </c>
      <c r="BF137" s="182">
        <v>0</v>
      </c>
      <c r="BG137" s="182">
        <f t="shared" si="160"/>
        <v>0</v>
      </c>
      <c r="BH137" s="182">
        <f t="shared" si="161"/>
        <v>0</v>
      </c>
      <c r="BI137" s="169">
        <f t="shared" si="162"/>
        <v>0.05649999999999977</v>
      </c>
      <c r="BJ137" s="171">
        <f t="shared" si="163"/>
        <v>27.2135</v>
      </c>
      <c r="BK137" s="171">
        <f t="shared" si="164"/>
        <v>0.5221285726169256</v>
      </c>
      <c r="BL137" s="171">
        <f t="shared" si="165"/>
        <v>27.735628572616925</v>
      </c>
      <c r="BM137" s="81">
        <f t="shared" si="166"/>
        <v>27.735628572616925</v>
      </c>
      <c r="BN137" s="63">
        <f t="shared" si="198"/>
        <v>27.383</v>
      </c>
      <c r="BO137" s="63">
        <f t="shared" si="167"/>
        <v>27.383</v>
      </c>
      <c r="BP137" s="63">
        <f t="shared" si="168"/>
        <v>0</v>
      </c>
      <c r="BQ137" s="63">
        <f t="shared" si="169"/>
        <v>0.3526285726169256</v>
      </c>
      <c r="BR137" s="67">
        <f t="shared" si="170"/>
        <v>34.790963136607154</v>
      </c>
      <c r="BS137" s="69">
        <f ca="1" t="shared" si="199"/>
        <v>1.21</v>
      </c>
      <c r="BT137" s="66">
        <f ca="1" t="shared" si="171"/>
        <v>33.13343</v>
      </c>
      <c r="BU137" s="66">
        <f ca="1" t="shared" si="172"/>
        <v>27.735628572616925</v>
      </c>
      <c r="BV137" s="66">
        <f ca="1" t="shared" si="173"/>
        <v>5.397801427383072</v>
      </c>
      <c r="BW137" s="63">
        <f ca="1" t="shared" si="174"/>
        <v>0</v>
      </c>
      <c r="BX137" s="67">
        <f ca="1" t="shared" si="200"/>
        <v>39.629614285681065</v>
      </c>
      <c r="BY137" s="65">
        <f ca="1" t="shared" si="175"/>
        <v>0.1390778154107113</v>
      </c>
      <c r="BZ137" s="68">
        <f ca="1" t="shared" si="201"/>
        <v>-0.009199246089357294</v>
      </c>
      <c r="CA137" s="81">
        <f t="shared" si="176"/>
        <v>27.383</v>
      </c>
      <c r="CB137" s="63">
        <f t="shared" si="177"/>
        <v>27.383</v>
      </c>
      <c r="CC137" s="67">
        <f t="shared" si="178"/>
        <v>35.90132553133049</v>
      </c>
      <c r="CD137" s="69">
        <f ca="1" t="shared" si="202"/>
        <v>1.21</v>
      </c>
      <c r="CE137" s="190">
        <f ca="1" t="shared" si="179"/>
        <v>33.13343</v>
      </c>
      <c r="CF137" s="70">
        <f ca="1" t="shared" si="180"/>
        <v>33.13343</v>
      </c>
      <c r="CG137" s="67">
        <f ca="1" t="shared" si="181"/>
        <v>39.30481757441425</v>
      </c>
      <c r="CH137" s="65">
        <f ca="1" t="shared" si="182"/>
        <v>0.09480129194989151</v>
      </c>
      <c r="CI137" s="65">
        <f ca="1" t="shared" si="203"/>
        <v>-0.01731965887134934</v>
      </c>
      <c r="CJ137" s="68">
        <f ca="1" t="shared" si="183"/>
        <v>-0.008195808037025687</v>
      </c>
      <c r="CL137" s="97">
        <f ca="1" t="shared" si="204"/>
        <v>11609246.157865865</v>
      </c>
      <c r="CM137" s="97">
        <f ca="1" t="shared" si="205"/>
        <v>11525140.422142446</v>
      </c>
      <c r="CN137" s="97">
        <f ca="1" t="shared" si="206"/>
        <v>11502449.845547734</v>
      </c>
      <c r="CO137" s="97">
        <f ca="1" t="shared" si="184"/>
        <v>11408177.97465811</v>
      </c>
      <c r="CQ137" s="97">
        <f t="shared" si="207"/>
        <v>8201285.960390062</v>
      </c>
      <c r="CR137" s="97">
        <f t="shared" si="208"/>
        <v>8533888.30919546</v>
      </c>
      <c r="CS137" s="97">
        <f t="shared" si="209"/>
        <v>8345485.065670691</v>
      </c>
      <c r="CT137" s="97">
        <f t="shared" si="185"/>
        <v>8611833.333933944</v>
      </c>
      <c r="CV137" s="97">
        <f ca="1" t="shared" si="210"/>
        <v>11609246.157865869</v>
      </c>
      <c r="CW137" s="97">
        <f ca="1" t="shared" si="186"/>
        <v>11525140.422142448</v>
      </c>
      <c r="CX137" s="97">
        <f ca="1" t="shared" si="187"/>
        <v>11525140.422142448</v>
      </c>
      <c r="CY137" s="97">
        <f ca="1" t="shared" si="188"/>
        <v>11408177.974658107</v>
      </c>
    </row>
    <row r="138" spans="2:103" ht="12.75">
      <c r="B138" s="14">
        <v>10436</v>
      </c>
      <c r="C138" s="15" t="s">
        <v>137</v>
      </c>
      <c r="D138" s="16">
        <f>RHWM!D125</f>
        <v>1</v>
      </c>
      <c r="E138" s="16">
        <f>RHWM!E125</f>
        <v>0</v>
      </c>
      <c r="F138" s="18">
        <f>RHWM!M125</f>
        <v>24.898</v>
      </c>
      <c r="G138" s="18">
        <f>RHWM!N125</f>
        <v>25.148</v>
      </c>
      <c r="H138" s="18">
        <f>RHWM!O125</f>
        <v>19.152</v>
      </c>
      <c r="I138" s="18">
        <v>5.746</v>
      </c>
      <c r="J138" s="18">
        <v>5.996</v>
      </c>
      <c r="K138" s="18">
        <v>0</v>
      </c>
      <c r="L138" s="18">
        <v>0</v>
      </c>
      <c r="M138" s="18">
        <v>5.746</v>
      </c>
      <c r="N138" s="18">
        <v>5.996</v>
      </c>
      <c r="O138" s="81">
        <f t="shared" si="130"/>
        <v>19.152</v>
      </c>
      <c r="P138" s="63">
        <f t="shared" si="131"/>
        <v>25.148</v>
      </c>
      <c r="Q138" s="63">
        <f t="shared" si="132"/>
        <v>19.152</v>
      </c>
      <c r="R138" s="63">
        <f t="shared" si="133"/>
        <v>5.995999999999999</v>
      </c>
      <c r="S138" s="63">
        <f t="shared" si="134"/>
        <v>0</v>
      </c>
      <c r="T138" s="67">
        <f t="shared" si="189"/>
        <v>40.90424681794824</v>
      </c>
      <c r="U138" s="138">
        <f ca="1" t="shared" si="190"/>
        <v>1.36</v>
      </c>
      <c r="V138" s="66">
        <f ca="1" t="shared" si="191"/>
        <v>34.201280000000004</v>
      </c>
      <c r="W138" s="66">
        <f ca="1" t="shared" si="135"/>
        <v>19.152</v>
      </c>
      <c r="X138" s="66">
        <f ca="1" t="shared" si="136"/>
        <v>15.049280000000003</v>
      </c>
      <c r="Y138" s="63">
        <f ca="1" t="shared" si="137"/>
        <v>0</v>
      </c>
      <c r="Z138" s="67">
        <f ca="1" t="shared" si="192"/>
        <v>47.32244024675938</v>
      </c>
      <c r="AA138" s="68">
        <f ca="1" t="shared" si="193"/>
        <v>0.15690775232646303</v>
      </c>
      <c r="AB138" s="169">
        <f t="shared" si="138"/>
        <v>19.152</v>
      </c>
      <c r="AC138" s="169">
        <f t="shared" si="139"/>
        <v>19.152</v>
      </c>
      <c r="AD138" s="169">
        <v>0.006</v>
      </c>
      <c r="AE138" s="171">
        <f t="shared" si="140"/>
        <v>0.003</v>
      </c>
      <c r="AF138" s="182">
        <v>0</v>
      </c>
      <c r="AG138" s="182">
        <f t="shared" si="141"/>
        <v>0</v>
      </c>
      <c r="AH138" s="182">
        <f t="shared" si="142"/>
        <v>0</v>
      </c>
      <c r="AI138" s="182">
        <v>0</v>
      </c>
      <c r="AJ138" s="171">
        <f t="shared" si="143"/>
        <v>2.9979999999999993</v>
      </c>
      <c r="AK138" s="171">
        <f t="shared" si="144"/>
        <v>22.153</v>
      </c>
      <c r="AL138" s="171">
        <f t="shared" si="145"/>
        <v>1.4137605379685207</v>
      </c>
      <c r="AM138" s="171">
        <f t="shared" si="146"/>
        <v>23.56676053796852</v>
      </c>
      <c r="AN138" s="81">
        <f t="shared" si="147"/>
        <v>23.56676053796852</v>
      </c>
      <c r="AO138" s="63">
        <f t="shared" si="148"/>
        <v>25.148</v>
      </c>
      <c r="AP138" s="63">
        <f t="shared" si="149"/>
        <v>23.56676053796852</v>
      </c>
      <c r="AQ138" s="63">
        <f t="shared" si="150"/>
        <v>1.5812394620314798</v>
      </c>
      <c r="AR138" s="63">
        <f t="shared" si="151"/>
        <v>0</v>
      </c>
      <c r="AS138" s="67">
        <f t="shared" si="194"/>
        <v>37.30825480638236</v>
      </c>
      <c r="AT138" s="65">
        <f ca="1" t="shared" si="195"/>
        <v>1.36</v>
      </c>
      <c r="AU138" s="66">
        <f ca="1" t="shared" si="152"/>
        <v>34.201280000000004</v>
      </c>
      <c r="AV138" s="66">
        <f ca="1" t="shared" si="153"/>
        <v>23.56676053796852</v>
      </c>
      <c r="AW138" s="66">
        <f ca="1" t="shared" si="154"/>
        <v>10.634519462031484</v>
      </c>
      <c r="AX138" s="63">
        <f ca="1" t="shared" si="155"/>
        <v>0</v>
      </c>
      <c r="AY138" s="67">
        <f ca="1" t="shared" si="196"/>
        <v>44.694730595738385</v>
      </c>
      <c r="AZ138" s="65">
        <f ca="1" t="shared" si="156"/>
        <v>0.1979850257721627</v>
      </c>
      <c r="BA138" s="68">
        <f ca="1" t="shared" si="197"/>
        <v>-0.055527771545993754</v>
      </c>
      <c r="BB138" s="169">
        <f t="shared" si="157"/>
        <v>19.152</v>
      </c>
      <c r="BC138" s="169">
        <f t="shared" si="158"/>
        <v>19.152</v>
      </c>
      <c r="BD138" s="169">
        <v>0.006</v>
      </c>
      <c r="BE138" s="171">
        <f t="shared" si="159"/>
        <v>0.003</v>
      </c>
      <c r="BF138" s="182">
        <v>0</v>
      </c>
      <c r="BG138" s="182">
        <f t="shared" si="160"/>
        <v>0</v>
      </c>
      <c r="BH138" s="182">
        <f t="shared" si="161"/>
        <v>0</v>
      </c>
      <c r="BI138" s="169">
        <f t="shared" si="162"/>
        <v>1.4989999999999997</v>
      </c>
      <c r="BJ138" s="171">
        <f t="shared" si="163"/>
        <v>20.654</v>
      </c>
      <c r="BK138" s="171">
        <f t="shared" si="164"/>
        <v>0.3962755080687887</v>
      </c>
      <c r="BL138" s="171">
        <f t="shared" si="165"/>
        <v>21.05027550806879</v>
      </c>
      <c r="BM138" s="81">
        <f t="shared" si="166"/>
        <v>21.05027550806879</v>
      </c>
      <c r="BN138" s="63">
        <f t="shared" si="198"/>
        <v>25.148</v>
      </c>
      <c r="BO138" s="63">
        <f t="shared" si="167"/>
        <v>21.05027550806879</v>
      </c>
      <c r="BP138" s="63">
        <f t="shared" si="168"/>
        <v>4.09772449193121</v>
      </c>
      <c r="BQ138" s="63">
        <f t="shared" si="169"/>
        <v>0</v>
      </c>
      <c r="BR138" s="67">
        <f t="shared" si="170"/>
        <v>39.40701960980371</v>
      </c>
      <c r="BS138" s="69">
        <f ca="1" t="shared" si="199"/>
        <v>1.36</v>
      </c>
      <c r="BT138" s="66">
        <f ca="1" t="shared" si="171"/>
        <v>34.201280000000004</v>
      </c>
      <c r="BU138" s="66">
        <f ca="1" t="shared" si="172"/>
        <v>21.05027550806879</v>
      </c>
      <c r="BV138" s="66">
        <f ca="1" t="shared" si="173"/>
        <v>13.151004491931214</v>
      </c>
      <c r="BW138" s="63">
        <f ca="1" t="shared" si="174"/>
        <v>0</v>
      </c>
      <c r="BX138" s="67">
        <f ca="1" t="shared" si="200"/>
        <v>45.8483449277535</v>
      </c>
      <c r="BY138" s="65">
        <f ca="1" t="shared" si="175"/>
        <v>0.16345629234917602</v>
      </c>
      <c r="BZ138" s="68">
        <f ca="1" t="shared" si="201"/>
        <v>-0.031150027583516704</v>
      </c>
      <c r="CA138" s="81">
        <f t="shared" si="176"/>
        <v>25.148</v>
      </c>
      <c r="CB138" s="63">
        <f t="shared" si="177"/>
        <v>25.148</v>
      </c>
      <c r="CC138" s="67">
        <f t="shared" si="178"/>
        <v>35.90132553133049</v>
      </c>
      <c r="CD138" s="69">
        <f ca="1" t="shared" si="202"/>
        <v>1.36</v>
      </c>
      <c r="CE138" s="190">
        <f ca="1" t="shared" si="179"/>
        <v>34.201280000000004</v>
      </c>
      <c r="CF138" s="70">
        <f ca="1" t="shared" si="180"/>
        <v>34.201280000000004</v>
      </c>
      <c r="CG138" s="67">
        <f ca="1" t="shared" si="181"/>
        <v>39.30481757441425</v>
      </c>
      <c r="CH138" s="65">
        <f ca="1" t="shared" si="182"/>
        <v>0.09480129194989151</v>
      </c>
      <c r="CI138" s="65">
        <f ca="1" t="shared" si="203"/>
        <v>-0.1694253853042621</v>
      </c>
      <c r="CJ138" s="68">
        <f ca="1" t="shared" si="183"/>
        <v>-0.14272112469164044</v>
      </c>
      <c r="CL138" s="97">
        <f ca="1" t="shared" si="204"/>
        <v>14177955.135465134</v>
      </c>
      <c r="CM138" s="97">
        <f ca="1" t="shared" si="205"/>
        <v>13390684.881713679</v>
      </c>
      <c r="CN138" s="97">
        <f ca="1" t="shared" si="206"/>
        <v>13736311.441917535</v>
      </c>
      <c r="CO138" s="97">
        <f ca="1" t="shared" si="184"/>
        <v>11775849.623812415</v>
      </c>
      <c r="CQ138" s="97">
        <f t="shared" si="207"/>
        <v>9011061.591045199</v>
      </c>
      <c r="CR138" s="97">
        <f t="shared" si="208"/>
        <v>8218877.208789114</v>
      </c>
      <c r="CS138" s="97">
        <f t="shared" si="209"/>
        <v>8681227.70733073</v>
      </c>
      <c r="CT138" s="97">
        <f t="shared" si="185"/>
        <v>7908935.641886238</v>
      </c>
      <c r="CV138" s="97">
        <f ca="1" t="shared" si="210"/>
        <v>14177955.135465136</v>
      </c>
      <c r="CW138" s="97">
        <f ca="1" t="shared" si="186"/>
        <v>13390684.88171368</v>
      </c>
      <c r="CX138" s="97">
        <f ca="1" t="shared" si="187"/>
        <v>13390684.88171368</v>
      </c>
      <c r="CY138" s="97">
        <f ca="1" t="shared" si="188"/>
        <v>11775849.623812415</v>
      </c>
    </row>
    <row r="139" spans="2:103" ht="12.75">
      <c r="B139" s="14">
        <v>10440</v>
      </c>
      <c r="C139" s="15" t="s">
        <v>138</v>
      </c>
      <c r="D139" s="16">
        <f>RHWM!D126</f>
        <v>1</v>
      </c>
      <c r="E139" s="16">
        <f>RHWM!E126</f>
        <v>0</v>
      </c>
      <c r="F139" s="18">
        <f>RHWM!M126</f>
        <v>5.252</v>
      </c>
      <c r="G139" s="18">
        <f>RHWM!N126</f>
        <v>5.268</v>
      </c>
      <c r="H139" s="18">
        <f>RHWM!O126</f>
        <v>5.005</v>
      </c>
      <c r="I139" s="18">
        <v>0.247</v>
      </c>
      <c r="J139" s="18">
        <v>0.263</v>
      </c>
      <c r="K139" s="18">
        <v>0.247</v>
      </c>
      <c r="L139" s="18">
        <v>0.263</v>
      </c>
      <c r="M139" s="18">
        <v>0</v>
      </c>
      <c r="N139" s="18">
        <v>0</v>
      </c>
      <c r="O139" s="81">
        <f t="shared" si="130"/>
        <v>5.005</v>
      </c>
      <c r="P139" s="63">
        <f t="shared" si="131"/>
        <v>5.268</v>
      </c>
      <c r="Q139" s="63">
        <f t="shared" si="132"/>
        <v>5.005</v>
      </c>
      <c r="R139" s="63">
        <f t="shared" si="133"/>
        <v>0.2629999999999999</v>
      </c>
      <c r="S139" s="63">
        <f t="shared" si="134"/>
        <v>0</v>
      </c>
      <c r="T139" s="67">
        <f t="shared" si="189"/>
        <v>35.405396107046805</v>
      </c>
      <c r="U139" s="138">
        <f ca="1" t="shared" si="190"/>
        <v>1.39</v>
      </c>
      <c r="V139" s="66">
        <f ca="1" t="shared" si="191"/>
        <v>7.322519999999999</v>
      </c>
      <c r="W139" s="66">
        <f ca="1" t="shared" si="135"/>
        <v>5.005</v>
      </c>
      <c r="X139" s="66">
        <f ca="1" t="shared" si="136"/>
        <v>2.317519999999999</v>
      </c>
      <c r="Y139" s="63">
        <f ca="1" t="shared" si="137"/>
        <v>0</v>
      </c>
      <c r="Z139" s="67">
        <f ca="1" t="shared" si="192"/>
        <v>43.837570641730274</v>
      </c>
      <c r="AA139" s="68">
        <f ca="1" t="shared" si="193"/>
        <v>0.2381607173434559</v>
      </c>
      <c r="AB139" s="169">
        <f t="shared" si="138"/>
        <v>5.005</v>
      </c>
      <c r="AC139" s="169">
        <f t="shared" si="139"/>
        <v>5.005</v>
      </c>
      <c r="AD139" s="169">
        <v>0</v>
      </c>
      <c r="AE139" s="171">
        <f t="shared" si="140"/>
        <v>0</v>
      </c>
      <c r="AF139" s="182">
        <v>0</v>
      </c>
      <c r="AG139" s="182">
        <f t="shared" si="141"/>
        <v>0</v>
      </c>
      <c r="AH139" s="182">
        <f t="shared" si="142"/>
        <v>0</v>
      </c>
      <c r="AI139" s="182">
        <v>0</v>
      </c>
      <c r="AJ139" s="171">
        <f t="shared" si="143"/>
        <v>0.13149999999999995</v>
      </c>
      <c r="AK139" s="171">
        <f t="shared" si="144"/>
        <v>5.1365</v>
      </c>
      <c r="AL139" s="171">
        <f t="shared" si="145"/>
        <v>0.3278012460287684</v>
      </c>
      <c r="AM139" s="171">
        <f t="shared" si="146"/>
        <v>5.464301246028768</v>
      </c>
      <c r="AN139" s="81">
        <f t="shared" si="147"/>
        <v>5.464301246028768</v>
      </c>
      <c r="AO139" s="63">
        <f t="shared" si="148"/>
        <v>5.268</v>
      </c>
      <c r="AP139" s="63">
        <f t="shared" si="149"/>
        <v>5.268</v>
      </c>
      <c r="AQ139" s="63">
        <f t="shared" si="150"/>
        <v>0</v>
      </c>
      <c r="AR139" s="63">
        <f t="shared" si="151"/>
        <v>0.19630124602876808</v>
      </c>
      <c r="AS139" s="67">
        <f t="shared" si="194"/>
        <v>35.5763854636149</v>
      </c>
      <c r="AT139" s="65">
        <f ca="1" t="shared" si="195"/>
        <v>1.39</v>
      </c>
      <c r="AU139" s="66">
        <f ca="1" t="shared" si="152"/>
        <v>7.322519999999999</v>
      </c>
      <c r="AV139" s="66">
        <f ca="1" t="shared" si="153"/>
        <v>5.464301246028768</v>
      </c>
      <c r="AW139" s="66">
        <f ca="1" t="shared" si="154"/>
        <v>1.8582187539712312</v>
      </c>
      <c r="AX139" s="63">
        <f ca="1" t="shared" si="155"/>
        <v>0</v>
      </c>
      <c r="AY139" s="67">
        <f ca="1" t="shared" si="196"/>
        <v>43.16598083286618</v>
      </c>
      <c r="AZ139" s="65">
        <f ca="1" t="shared" si="156"/>
        <v>0.2133323908639737</v>
      </c>
      <c r="BA139" s="68">
        <f ca="1" t="shared" si="197"/>
        <v>-0.015319959546863826</v>
      </c>
      <c r="BB139" s="169">
        <f t="shared" si="157"/>
        <v>5.005</v>
      </c>
      <c r="BC139" s="169">
        <f t="shared" si="158"/>
        <v>5.005</v>
      </c>
      <c r="BD139" s="169">
        <v>0</v>
      </c>
      <c r="BE139" s="171">
        <f t="shared" si="159"/>
        <v>0</v>
      </c>
      <c r="BF139" s="182">
        <v>0</v>
      </c>
      <c r="BG139" s="182">
        <f t="shared" si="160"/>
        <v>0</v>
      </c>
      <c r="BH139" s="182">
        <f t="shared" si="161"/>
        <v>0</v>
      </c>
      <c r="BI139" s="169">
        <f t="shared" si="162"/>
        <v>0.06574999999999998</v>
      </c>
      <c r="BJ139" s="171">
        <f t="shared" si="163"/>
        <v>5.07075</v>
      </c>
      <c r="BK139" s="171">
        <f t="shared" si="164"/>
        <v>0.09728934020237293</v>
      </c>
      <c r="BL139" s="171">
        <f t="shared" si="165"/>
        <v>5.168039340202373</v>
      </c>
      <c r="BM139" s="81">
        <f t="shared" si="166"/>
        <v>5.168039340202373</v>
      </c>
      <c r="BN139" s="63">
        <f t="shared" si="198"/>
        <v>5.268</v>
      </c>
      <c r="BO139" s="63">
        <f t="shared" si="167"/>
        <v>5.168039340202373</v>
      </c>
      <c r="BP139" s="63">
        <f t="shared" si="168"/>
        <v>0.09996065979762658</v>
      </c>
      <c r="BQ139" s="63">
        <f t="shared" si="169"/>
        <v>0</v>
      </c>
      <c r="BR139" s="67">
        <f t="shared" si="170"/>
        <v>35.32850854592682</v>
      </c>
      <c r="BS139" s="69">
        <f ca="1" t="shared" si="199"/>
        <v>1.39</v>
      </c>
      <c r="BT139" s="66">
        <f ca="1" t="shared" si="171"/>
        <v>7.322519999999999</v>
      </c>
      <c r="BU139" s="66">
        <f ca="1" t="shared" si="172"/>
        <v>5.168039340202373</v>
      </c>
      <c r="BV139" s="66">
        <f ca="1" t="shared" si="173"/>
        <v>2.154480659797626</v>
      </c>
      <c r="BW139" s="63">
        <f ca="1" t="shared" si="174"/>
        <v>0</v>
      </c>
      <c r="BX139" s="67">
        <f ca="1" t="shared" si="200"/>
        <v>43.31459278026661</v>
      </c>
      <c r="BY139" s="65">
        <f ca="1" t="shared" si="175"/>
        <v>0.22605211946487724</v>
      </c>
      <c r="BZ139" s="68">
        <f ca="1" t="shared" si="201"/>
        <v>-0.011929900626514778</v>
      </c>
      <c r="CA139" s="81">
        <f t="shared" si="176"/>
        <v>5.268</v>
      </c>
      <c r="CB139" s="63">
        <f t="shared" si="177"/>
        <v>5.268</v>
      </c>
      <c r="CC139" s="67">
        <f t="shared" si="178"/>
        <v>35.90132553133049</v>
      </c>
      <c r="CD139" s="69">
        <f ca="1" t="shared" si="202"/>
        <v>1.39</v>
      </c>
      <c r="CE139" s="190">
        <f ca="1" t="shared" si="179"/>
        <v>7.322519999999999</v>
      </c>
      <c r="CF139" s="70">
        <f ca="1" t="shared" si="180"/>
        <v>7.322519999999999</v>
      </c>
      <c r="CG139" s="67">
        <f ca="1" t="shared" si="181"/>
        <v>39.30481757441425</v>
      </c>
      <c r="CH139" s="65">
        <f ca="1" t="shared" si="182"/>
        <v>0.09480129194989151</v>
      </c>
      <c r="CI139" s="65">
        <f ca="1" t="shared" si="203"/>
        <v>-0.10339881980141397</v>
      </c>
      <c r="CJ139" s="68">
        <f ca="1" t="shared" si="183"/>
        <v>-0.09257330955860077</v>
      </c>
      <c r="CL139" s="97">
        <f ca="1" t="shared" si="204"/>
        <v>2811973.0329132285</v>
      </c>
      <c r="CM139" s="97">
        <f ca="1" t="shared" si="205"/>
        <v>2768893.7198021263</v>
      </c>
      <c r="CN139" s="97">
        <f ca="1" t="shared" si="206"/>
        <v>2778426.4740661345</v>
      </c>
      <c r="CO139" s="97">
        <f ca="1" t="shared" si="184"/>
        <v>2521218.339996598</v>
      </c>
      <c r="CQ139" s="97">
        <f t="shared" si="207"/>
        <v>1633876.8898212416</v>
      </c>
      <c r="CR139" s="97">
        <f t="shared" si="208"/>
        <v>1641767.651931552</v>
      </c>
      <c r="CS139" s="97">
        <f t="shared" si="209"/>
        <v>1630328.7072546962</v>
      </c>
      <c r="CT139" s="97">
        <f t="shared" si="185"/>
        <v>1656762.8821956695</v>
      </c>
      <c r="CV139" s="97">
        <f ca="1" t="shared" si="210"/>
        <v>2811973.0329132285</v>
      </c>
      <c r="CW139" s="97">
        <f ca="1" t="shared" si="186"/>
        <v>2768893.719802126</v>
      </c>
      <c r="CX139" s="97">
        <f ca="1" t="shared" si="187"/>
        <v>2768893.719802126</v>
      </c>
      <c r="CY139" s="97">
        <f ca="1" t="shared" si="188"/>
        <v>2521218.339996598</v>
      </c>
    </row>
    <row r="140" spans="2:103" ht="12.75">
      <c r="B140" s="14">
        <v>10442</v>
      </c>
      <c r="C140" s="15" t="s">
        <v>139</v>
      </c>
      <c r="D140" s="16">
        <f>RHWM!D127</f>
        <v>1</v>
      </c>
      <c r="E140" s="16">
        <f>RHWM!E127</f>
        <v>0</v>
      </c>
      <c r="F140" s="18">
        <f>RHWM!M127</f>
        <v>12.585</v>
      </c>
      <c r="G140" s="18">
        <f>RHWM!N127</f>
        <v>12.635</v>
      </c>
      <c r="H140" s="18">
        <f>RHWM!O127</f>
        <v>13.396</v>
      </c>
      <c r="I140" s="18">
        <v>0</v>
      </c>
      <c r="J140" s="18">
        <v>0</v>
      </c>
      <c r="K140" s="18">
        <v>0</v>
      </c>
      <c r="L140" s="18">
        <v>0</v>
      </c>
      <c r="M140" s="18">
        <v>0</v>
      </c>
      <c r="N140" s="18">
        <v>0</v>
      </c>
      <c r="O140" s="81">
        <f t="shared" si="130"/>
        <v>13.396</v>
      </c>
      <c r="P140" s="63">
        <f t="shared" si="131"/>
        <v>12.635</v>
      </c>
      <c r="Q140" s="63">
        <f t="shared" si="132"/>
        <v>12.635</v>
      </c>
      <c r="R140" s="63">
        <f t="shared" si="133"/>
        <v>0</v>
      </c>
      <c r="S140" s="63">
        <f t="shared" si="134"/>
        <v>0.761000000000001</v>
      </c>
      <c r="T140" s="67">
        <f t="shared" si="189"/>
        <v>33.949064274110405</v>
      </c>
      <c r="U140" s="138">
        <f ca="1" t="shared" si="190"/>
        <v>1.02</v>
      </c>
      <c r="V140" s="66">
        <f ca="1" t="shared" si="191"/>
        <v>12.8877</v>
      </c>
      <c r="W140" s="66">
        <f ca="1" t="shared" si="135"/>
        <v>12.8877</v>
      </c>
      <c r="X140" s="66">
        <f ca="1" t="shared" si="136"/>
        <v>0</v>
      </c>
      <c r="Y140" s="63">
        <f ca="1" t="shared" si="137"/>
        <v>0.5083000000000002</v>
      </c>
      <c r="Z140" s="67">
        <f ca="1" t="shared" si="192"/>
        <v>34.90901605903751</v>
      </c>
      <c r="AA140" s="68">
        <f ca="1" t="shared" si="193"/>
        <v>0.028276236928838294</v>
      </c>
      <c r="AB140" s="169">
        <f t="shared" si="138"/>
        <v>12.635</v>
      </c>
      <c r="AC140" s="169">
        <f t="shared" si="139"/>
        <v>12.635</v>
      </c>
      <c r="AD140" s="169">
        <v>0.005</v>
      </c>
      <c r="AE140" s="171">
        <f t="shared" si="140"/>
        <v>0.0025</v>
      </c>
      <c r="AF140" s="182">
        <v>0</v>
      </c>
      <c r="AG140" s="182">
        <f t="shared" si="141"/>
        <v>0</v>
      </c>
      <c r="AH140" s="182">
        <f t="shared" si="142"/>
        <v>0</v>
      </c>
      <c r="AI140" s="182">
        <v>0</v>
      </c>
      <c r="AJ140" s="171">
        <f t="shared" si="143"/>
        <v>0</v>
      </c>
      <c r="AK140" s="171">
        <f t="shared" si="144"/>
        <v>12.6375</v>
      </c>
      <c r="AL140" s="171">
        <f t="shared" si="145"/>
        <v>0.806500194040409</v>
      </c>
      <c r="AM140" s="171">
        <f t="shared" si="146"/>
        <v>13.444000194040408</v>
      </c>
      <c r="AN140" s="81">
        <f t="shared" si="147"/>
        <v>13.444000194040408</v>
      </c>
      <c r="AO140" s="63">
        <f t="shared" si="148"/>
        <v>12.635</v>
      </c>
      <c r="AP140" s="63">
        <f t="shared" si="149"/>
        <v>12.635</v>
      </c>
      <c r="AQ140" s="63">
        <f t="shared" si="150"/>
        <v>0</v>
      </c>
      <c r="AR140" s="63">
        <f t="shared" si="151"/>
        <v>0.8090001940404079</v>
      </c>
      <c r="AS140" s="67">
        <f t="shared" si="194"/>
        <v>35.5763854636149</v>
      </c>
      <c r="AT140" s="65">
        <f ca="1" t="shared" si="195"/>
        <v>1.02</v>
      </c>
      <c r="AU140" s="66">
        <f ca="1" t="shared" si="152"/>
        <v>12.8877</v>
      </c>
      <c r="AV140" s="66">
        <f ca="1" t="shared" si="153"/>
        <v>12.8877</v>
      </c>
      <c r="AW140" s="66">
        <f ca="1" t="shared" si="154"/>
        <v>0</v>
      </c>
      <c r="AX140" s="63">
        <f ca="1" t="shared" si="155"/>
        <v>0.5563001940404071</v>
      </c>
      <c r="AY140" s="67">
        <f ca="1" t="shared" si="196"/>
        <v>36.38031310262951</v>
      </c>
      <c r="AZ140" s="65">
        <f ca="1" t="shared" si="156"/>
        <v>0.0225972264618286</v>
      </c>
      <c r="BA140" s="68">
        <f ca="1" t="shared" si="197"/>
        <v>0.0421466202629075</v>
      </c>
      <c r="BB140" s="169">
        <f t="shared" si="157"/>
        <v>12.635</v>
      </c>
      <c r="BC140" s="169">
        <f t="shared" si="158"/>
        <v>12.635</v>
      </c>
      <c r="BD140" s="169">
        <v>0.005</v>
      </c>
      <c r="BE140" s="171">
        <f t="shared" si="159"/>
        <v>0.0025</v>
      </c>
      <c r="BF140" s="182">
        <v>0</v>
      </c>
      <c r="BG140" s="182">
        <f t="shared" si="160"/>
        <v>0</v>
      </c>
      <c r="BH140" s="182">
        <f t="shared" si="161"/>
        <v>0</v>
      </c>
      <c r="BI140" s="169">
        <f t="shared" si="162"/>
        <v>0</v>
      </c>
      <c r="BJ140" s="171">
        <f t="shared" si="163"/>
        <v>12.6375</v>
      </c>
      <c r="BK140" s="171">
        <f t="shared" si="164"/>
        <v>0.24246788676378989</v>
      </c>
      <c r="BL140" s="171">
        <f t="shared" si="165"/>
        <v>12.879967886763788</v>
      </c>
      <c r="BM140" s="81">
        <f t="shared" si="166"/>
        <v>12.879967886763788</v>
      </c>
      <c r="BN140" s="63">
        <f t="shared" si="198"/>
        <v>12.635</v>
      </c>
      <c r="BO140" s="63">
        <f t="shared" si="167"/>
        <v>12.635</v>
      </c>
      <c r="BP140" s="63">
        <f t="shared" si="168"/>
        <v>0</v>
      </c>
      <c r="BQ140" s="63">
        <f t="shared" si="169"/>
        <v>0.24496788676378856</v>
      </c>
      <c r="BR140" s="67">
        <f t="shared" si="170"/>
        <v>34.790963136607154</v>
      </c>
      <c r="BS140" s="69">
        <f ca="1" t="shared" si="199"/>
        <v>1.02</v>
      </c>
      <c r="BT140" s="66">
        <f ca="1" t="shared" si="171"/>
        <v>12.8877</v>
      </c>
      <c r="BU140" s="66">
        <f ca="1" t="shared" si="172"/>
        <v>12.879967886763788</v>
      </c>
      <c r="BV140" s="66">
        <f ca="1" t="shared" si="173"/>
        <v>0.007732113236212257</v>
      </c>
      <c r="BW140" s="63">
        <f ca="1" t="shared" si="174"/>
        <v>0</v>
      </c>
      <c r="BX140" s="67">
        <f ca="1" t="shared" si="200"/>
        <v>35.07484179938487</v>
      </c>
      <c r="BY140" s="65">
        <f ca="1" t="shared" si="175"/>
        <v>0.008159551710686053</v>
      </c>
      <c r="BZ140" s="68">
        <f ca="1" t="shared" si="201"/>
        <v>0.004750226705528382</v>
      </c>
      <c r="CA140" s="81">
        <f t="shared" si="176"/>
        <v>12.635</v>
      </c>
      <c r="CB140" s="63">
        <f t="shared" si="177"/>
        <v>12.635</v>
      </c>
      <c r="CC140" s="67">
        <f t="shared" si="178"/>
        <v>35.90132553133049</v>
      </c>
      <c r="CD140" s="69">
        <f ca="1" t="shared" si="202"/>
        <v>1.02</v>
      </c>
      <c r="CE140" s="190">
        <f ca="1" t="shared" si="179"/>
        <v>12.8877</v>
      </c>
      <c r="CF140" s="70">
        <f ca="1" t="shared" si="180"/>
        <v>12.8877</v>
      </c>
      <c r="CG140" s="67">
        <f ca="1" t="shared" si="181"/>
        <v>39.30481757441425</v>
      </c>
      <c r="CH140" s="65">
        <f ca="1" t="shared" si="182"/>
        <v>0.09480129194989151</v>
      </c>
      <c r="CI140" s="65">
        <f ca="1" t="shared" si="203"/>
        <v>0.1259216675698518</v>
      </c>
      <c r="CJ140" s="68">
        <f ca="1" t="shared" si="183"/>
        <v>0.12059857031496479</v>
      </c>
      <c r="CL140" s="97">
        <f ca="1" t="shared" si="204"/>
        <v>3941097.074073146</v>
      </c>
      <c r="CM140" s="97">
        <f ca="1" t="shared" si="205"/>
        <v>4107200.9958733628</v>
      </c>
      <c r="CN140" s="97">
        <f ca="1" t="shared" si="206"/>
        <v>3959818.178643488</v>
      </c>
      <c r="CO140" s="97">
        <f ca="1" t="shared" si="184"/>
        <v>4437366.589695101</v>
      </c>
      <c r="CQ140" s="97">
        <f t="shared" si="207"/>
        <v>3757570.701425652</v>
      </c>
      <c r="CR140" s="97">
        <f t="shared" si="208"/>
        <v>3937686.841715102</v>
      </c>
      <c r="CS140" s="97">
        <f t="shared" si="209"/>
        <v>3850754.2564638346</v>
      </c>
      <c r="CT140" s="97">
        <f t="shared" si="185"/>
        <v>3973652.05325404</v>
      </c>
      <c r="CV140" s="97">
        <f ca="1" t="shared" si="210"/>
        <v>3941097.0740731456</v>
      </c>
      <c r="CW140" s="97">
        <f ca="1" t="shared" si="186"/>
        <v>4107200.9958733628</v>
      </c>
      <c r="CX140" s="97">
        <f ca="1" t="shared" si="187"/>
        <v>4107200.9958733628</v>
      </c>
      <c r="CY140" s="97">
        <f ca="1" t="shared" si="188"/>
        <v>4437366.5896951</v>
      </c>
    </row>
    <row r="141" spans="2:103" ht="12.75">
      <c r="B141" s="14">
        <v>10446</v>
      </c>
      <c r="C141" s="15" t="s">
        <v>140</v>
      </c>
      <c r="D141" s="16">
        <f>RHWM!D128</f>
        <v>1</v>
      </c>
      <c r="E141" s="16">
        <f>RHWM!E128</f>
        <v>0</v>
      </c>
      <c r="F141" s="18">
        <f>RHWM!M128</f>
        <v>97.009</v>
      </c>
      <c r="G141" s="18">
        <f>RHWM!N128</f>
        <v>99.701</v>
      </c>
      <c r="H141" s="18">
        <f>RHWM!O128</f>
        <v>95.771</v>
      </c>
      <c r="I141" s="18">
        <f>MAX(F141-$H141,0)</f>
        <v>1.2379999999999995</v>
      </c>
      <c r="J141" s="18">
        <f>MAX(G141-$H141,0)</f>
        <v>3.9299999999999926</v>
      </c>
      <c r="K141" s="18">
        <v>0</v>
      </c>
      <c r="L141" s="18">
        <v>0</v>
      </c>
      <c r="M141" s="18">
        <f>I141</f>
        <v>1.2379999999999995</v>
      </c>
      <c r="N141" s="18">
        <f>J141</f>
        <v>3.9299999999999926</v>
      </c>
      <c r="O141" s="81">
        <f t="shared" si="130"/>
        <v>95.771</v>
      </c>
      <c r="P141" s="63">
        <f t="shared" si="131"/>
        <v>99.701</v>
      </c>
      <c r="Q141" s="63">
        <f t="shared" si="132"/>
        <v>95.771</v>
      </c>
      <c r="R141" s="63">
        <f t="shared" si="133"/>
        <v>3.9299999999999926</v>
      </c>
      <c r="S141" s="63">
        <f t="shared" si="134"/>
        <v>0</v>
      </c>
      <c r="T141" s="67">
        <f t="shared" si="189"/>
        <v>35.09892011710843</v>
      </c>
      <c r="U141" s="138">
        <f ca="1" t="shared" si="190"/>
        <v>1.26</v>
      </c>
      <c r="V141" s="66">
        <f ca="1" t="shared" si="191"/>
        <v>125.62325999999999</v>
      </c>
      <c r="W141" s="66">
        <f ca="1" t="shared" si="135"/>
        <v>95.771</v>
      </c>
      <c r="X141" s="66">
        <f ca="1" t="shared" si="136"/>
        <v>29.852259999999987</v>
      </c>
      <c r="Y141" s="63">
        <f ca="1" t="shared" si="137"/>
        <v>0</v>
      </c>
      <c r="Z141" s="67">
        <f ca="1" t="shared" si="192"/>
        <v>41.61288306154514</v>
      </c>
      <c r="AA141" s="68">
        <f ca="1" t="shared" si="193"/>
        <v>0.18558869967231795</v>
      </c>
      <c r="AB141" s="169">
        <f t="shared" si="138"/>
        <v>95.771</v>
      </c>
      <c r="AC141" s="169">
        <f t="shared" si="139"/>
        <v>95.771</v>
      </c>
      <c r="AD141" s="169">
        <v>0</v>
      </c>
      <c r="AE141" s="171">
        <f t="shared" si="140"/>
        <v>0</v>
      </c>
      <c r="AF141" s="182">
        <v>0</v>
      </c>
      <c r="AG141" s="182">
        <f t="shared" si="141"/>
        <v>0</v>
      </c>
      <c r="AH141" s="182">
        <f t="shared" si="142"/>
        <v>0</v>
      </c>
      <c r="AI141" s="182">
        <v>0</v>
      </c>
      <c r="AJ141" s="171">
        <f t="shared" si="143"/>
        <v>1.9649999999999963</v>
      </c>
      <c r="AK141" s="171">
        <f t="shared" si="144"/>
        <v>97.73599999999999</v>
      </c>
      <c r="AL141" s="171">
        <f t="shared" si="145"/>
        <v>6.237317742016492</v>
      </c>
      <c r="AM141" s="171">
        <f t="shared" si="146"/>
        <v>103.97331774201648</v>
      </c>
      <c r="AN141" s="81">
        <f t="shared" si="147"/>
        <v>103.97331774201648</v>
      </c>
      <c r="AO141" s="63">
        <f t="shared" si="148"/>
        <v>99.701</v>
      </c>
      <c r="AP141" s="63">
        <f t="shared" si="149"/>
        <v>99.701</v>
      </c>
      <c r="AQ141" s="63">
        <f t="shared" si="150"/>
        <v>0</v>
      </c>
      <c r="AR141" s="63">
        <f t="shared" si="151"/>
        <v>4.272317742016483</v>
      </c>
      <c r="AS141" s="67">
        <f t="shared" si="194"/>
        <v>35.5763854636149</v>
      </c>
      <c r="AT141" s="65">
        <f ca="1" t="shared" si="195"/>
        <v>1.26</v>
      </c>
      <c r="AU141" s="66">
        <f ca="1" t="shared" si="152"/>
        <v>125.62325999999999</v>
      </c>
      <c r="AV141" s="66">
        <f ca="1" t="shared" si="153"/>
        <v>103.97331774201648</v>
      </c>
      <c r="AW141" s="66">
        <f ca="1" t="shared" si="154"/>
        <v>21.64994225798351</v>
      </c>
      <c r="AX141" s="63">
        <f ca="1" t="shared" si="155"/>
        <v>0</v>
      </c>
      <c r="AY141" s="67">
        <f ca="1" t="shared" si="196"/>
        <v>40.98863704936222</v>
      </c>
      <c r="AZ141" s="65">
        <f ca="1" t="shared" si="156"/>
        <v>0.15213045156829108</v>
      </c>
      <c r="BA141" s="68">
        <f ca="1" t="shared" si="197"/>
        <v>-0.015001268027011405</v>
      </c>
      <c r="BB141" s="169">
        <f t="shared" si="157"/>
        <v>95.771</v>
      </c>
      <c r="BC141" s="169">
        <f t="shared" si="158"/>
        <v>95.771</v>
      </c>
      <c r="BD141" s="169">
        <v>0</v>
      </c>
      <c r="BE141" s="171">
        <f t="shared" si="159"/>
        <v>0</v>
      </c>
      <c r="BF141" s="182">
        <v>0</v>
      </c>
      <c r="BG141" s="182">
        <f t="shared" si="160"/>
        <v>0</v>
      </c>
      <c r="BH141" s="182">
        <f t="shared" si="161"/>
        <v>0</v>
      </c>
      <c r="BI141" s="169">
        <f t="shared" si="162"/>
        <v>0.9824999999999982</v>
      </c>
      <c r="BJ141" s="171">
        <f t="shared" si="163"/>
        <v>96.7535</v>
      </c>
      <c r="BK141" s="171">
        <f t="shared" si="164"/>
        <v>1.856349490168178</v>
      </c>
      <c r="BL141" s="171">
        <f t="shared" si="165"/>
        <v>98.60984949016819</v>
      </c>
      <c r="BM141" s="81">
        <f t="shared" si="166"/>
        <v>98.60984949016819</v>
      </c>
      <c r="BN141" s="63">
        <f t="shared" si="198"/>
        <v>99.701</v>
      </c>
      <c r="BO141" s="63">
        <f t="shared" si="167"/>
        <v>98.60984949016819</v>
      </c>
      <c r="BP141" s="63">
        <f t="shared" si="168"/>
        <v>1.091150509831806</v>
      </c>
      <c r="BQ141" s="63">
        <f t="shared" si="169"/>
        <v>0</v>
      </c>
      <c r="BR141" s="67">
        <f t="shared" si="170"/>
        <v>35.101002584722366</v>
      </c>
      <c r="BS141" s="69">
        <f ca="1" t="shared" si="199"/>
        <v>1.26</v>
      </c>
      <c r="BT141" s="66">
        <f ca="1" t="shared" si="171"/>
        <v>125.62325999999999</v>
      </c>
      <c r="BU141" s="66">
        <f ca="1" t="shared" si="172"/>
        <v>98.60984949016819</v>
      </c>
      <c r="BV141" s="66">
        <f ca="1" t="shared" si="173"/>
        <v>27.0134105098318</v>
      </c>
      <c r="BW141" s="63">
        <f ca="1" t="shared" si="174"/>
        <v>0</v>
      </c>
      <c r="BX141" s="67">
        <f ca="1" t="shared" si="200"/>
        <v>41.09231950754349</v>
      </c>
      <c r="BY141" s="65">
        <f ca="1" t="shared" si="175"/>
        <v>0.17068791435116548</v>
      </c>
      <c r="BZ141" s="68">
        <f ca="1" t="shared" si="201"/>
        <v>-0.012509672863371124</v>
      </c>
      <c r="CA141" s="81">
        <f t="shared" si="176"/>
        <v>99.701</v>
      </c>
      <c r="CB141" s="63">
        <f t="shared" si="177"/>
        <v>99.701</v>
      </c>
      <c r="CC141" s="67">
        <f t="shared" si="178"/>
        <v>35.90132553133049</v>
      </c>
      <c r="CD141" s="69">
        <f ca="1" t="shared" si="202"/>
        <v>1.26</v>
      </c>
      <c r="CE141" s="190">
        <f ca="1" t="shared" si="179"/>
        <v>125.62325999999999</v>
      </c>
      <c r="CF141" s="70">
        <f ca="1" t="shared" si="180"/>
        <v>125.62325999999999</v>
      </c>
      <c r="CG141" s="67">
        <f ca="1" t="shared" si="181"/>
        <v>39.30481757441425</v>
      </c>
      <c r="CH141" s="65">
        <f ca="1" t="shared" si="182"/>
        <v>0.09480129194989151</v>
      </c>
      <c r="CI141" s="65">
        <f ca="1" t="shared" si="203"/>
        <v>-0.05546516648984112</v>
      </c>
      <c r="CJ141" s="68">
        <f ca="1" t="shared" si="183"/>
        <v>-0.04349966014454609</v>
      </c>
      <c r="CL141" s="97">
        <f ca="1" t="shared" si="204"/>
        <v>45793303.20694511</v>
      </c>
      <c r="CM141" s="97">
        <f ca="1" t="shared" si="205"/>
        <v>45106345.59169552</v>
      </c>
      <c r="CN141" s="97">
        <f ca="1" t="shared" si="206"/>
        <v>45220443.964493066</v>
      </c>
      <c r="CO141" s="97">
        <f ca="1" t="shared" si="184"/>
        <v>43253370.02045212</v>
      </c>
      <c r="CQ141" s="97">
        <f t="shared" si="207"/>
        <v>30654721.527059447</v>
      </c>
      <c r="CR141" s="97">
        <f t="shared" si="208"/>
        <v>31071730.57426493</v>
      </c>
      <c r="CS141" s="97">
        <f t="shared" si="209"/>
        <v>30656540.314206783</v>
      </c>
      <c r="CT141" s="97">
        <f t="shared" si="185"/>
        <v>31355526.977560826</v>
      </c>
      <c r="CV141" s="97">
        <f ca="1" t="shared" si="210"/>
        <v>45793303.20694511</v>
      </c>
      <c r="CW141" s="97">
        <f ca="1" t="shared" si="186"/>
        <v>45106345.59169552</v>
      </c>
      <c r="CX141" s="97">
        <f ca="1" t="shared" si="187"/>
        <v>45106345.59169552</v>
      </c>
      <c r="CY141" s="97">
        <f ca="1" t="shared" si="188"/>
        <v>43253370.02045212</v>
      </c>
    </row>
    <row r="142" spans="2:103" ht="12.75">
      <c r="B142" s="14">
        <v>10448</v>
      </c>
      <c r="C142" s="15" t="s">
        <v>141</v>
      </c>
      <c r="D142" s="16">
        <f>RHWM!D129</f>
        <v>0</v>
      </c>
      <c r="E142" s="16">
        <f>RHWM!E129</f>
        <v>1</v>
      </c>
      <c r="F142" s="18">
        <f>RHWM!M129</f>
        <v>8.241</v>
      </c>
      <c r="G142" s="18">
        <f>RHWM!N129</f>
        <v>8.236</v>
      </c>
      <c r="H142" s="18">
        <f>RHWM!O129</f>
        <v>8.481</v>
      </c>
      <c r="I142" s="18">
        <v>0</v>
      </c>
      <c r="J142" s="18">
        <v>0</v>
      </c>
      <c r="K142" s="18">
        <v>0</v>
      </c>
      <c r="L142" s="18">
        <v>0</v>
      </c>
      <c r="M142" s="18">
        <v>0</v>
      </c>
      <c r="N142" s="18">
        <v>0</v>
      </c>
      <c r="O142" s="81">
        <f t="shared" si="130"/>
        <v>8.481</v>
      </c>
      <c r="P142" s="63">
        <f t="shared" si="131"/>
        <v>8.236</v>
      </c>
      <c r="Q142" s="63">
        <f t="shared" si="132"/>
        <v>8.236</v>
      </c>
      <c r="R142" s="63">
        <f t="shared" si="133"/>
        <v>0</v>
      </c>
      <c r="S142" s="63">
        <f t="shared" si="134"/>
        <v>0.24499999999999922</v>
      </c>
      <c r="T142" s="67">
        <f t="shared" si="189"/>
        <v>33.949064274110405</v>
      </c>
      <c r="U142" s="138">
        <f ca="1" t="shared" si="190"/>
        <v>1.26</v>
      </c>
      <c r="V142" s="66">
        <f ca="1" t="shared" si="191"/>
        <v>10.377360000000001</v>
      </c>
      <c r="W142" s="66">
        <f ca="1" t="shared" si="135"/>
        <v>8.481</v>
      </c>
      <c r="X142" s="66">
        <f ca="1" t="shared" si="136"/>
        <v>1.8963600000000014</v>
      </c>
      <c r="Y142" s="63">
        <f ca="1" t="shared" si="137"/>
        <v>0</v>
      </c>
      <c r="Z142" s="67">
        <f ca="1" t="shared" si="192"/>
        <v>40.06429461796615</v>
      </c>
      <c r="AA142" s="68">
        <f ca="1" t="shared" si="193"/>
        <v>0.18012956983086048</v>
      </c>
      <c r="AB142" s="169">
        <f t="shared" si="138"/>
        <v>8.236</v>
      </c>
      <c r="AC142" s="169">
        <f t="shared" si="139"/>
        <v>8.236</v>
      </c>
      <c r="AD142" s="169">
        <v>0</v>
      </c>
      <c r="AE142" s="171">
        <f t="shared" si="140"/>
        <v>0</v>
      </c>
      <c r="AF142" s="182">
        <v>0</v>
      </c>
      <c r="AG142" s="182">
        <f t="shared" si="141"/>
        <v>0</v>
      </c>
      <c r="AH142" s="182">
        <f t="shared" si="142"/>
        <v>0</v>
      </c>
      <c r="AI142" s="182">
        <v>0</v>
      </c>
      <c r="AJ142" s="171">
        <f t="shared" si="143"/>
        <v>0</v>
      </c>
      <c r="AK142" s="171">
        <f t="shared" si="144"/>
        <v>8.236</v>
      </c>
      <c r="AL142" s="171">
        <f t="shared" si="145"/>
        <v>0.5256051907510828</v>
      </c>
      <c r="AM142" s="171">
        <f t="shared" si="146"/>
        <v>8.761605190751084</v>
      </c>
      <c r="AN142" s="81">
        <f t="shared" si="147"/>
        <v>8.761605190751084</v>
      </c>
      <c r="AO142" s="63">
        <f t="shared" si="148"/>
        <v>8.236</v>
      </c>
      <c r="AP142" s="63">
        <f t="shared" si="149"/>
        <v>8.236</v>
      </c>
      <c r="AQ142" s="63">
        <f t="shared" si="150"/>
        <v>0</v>
      </c>
      <c r="AR142" s="63">
        <f t="shared" si="151"/>
        <v>0.525605190751083</v>
      </c>
      <c r="AS142" s="67">
        <f t="shared" si="194"/>
        <v>35.5763854636149</v>
      </c>
      <c r="AT142" s="65">
        <f ca="1" t="shared" si="195"/>
        <v>1.26</v>
      </c>
      <c r="AU142" s="66">
        <f ca="1" t="shared" si="152"/>
        <v>10.377360000000001</v>
      </c>
      <c r="AV142" s="66">
        <f ca="1" t="shared" si="153"/>
        <v>8.761605190751084</v>
      </c>
      <c r="AW142" s="66">
        <f ca="1" t="shared" si="154"/>
        <v>1.6157548092489176</v>
      </c>
      <c r="AX142" s="63">
        <f ca="1" t="shared" si="155"/>
        <v>0</v>
      </c>
      <c r="AY142" s="67">
        <f ca="1" t="shared" si="196"/>
        <v>40.54368198471865</v>
      </c>
      <c r="AZ142" s="65">
        <f ca="1" t="shared" si="156"/>
        <v>0.1396234175105835</v>
      </c>
      <c r="BA142" s="68">
        <f ca="1" t="shared" si="197"/>
        <v>0.011965451315784081</v>
      </c>
      <c r="BB142" s="169">
        <f t="shared" si="157"/>
        <v>8.236</v>
      </c>
      <c r="BC142" s="169">
        <f t="shared" si="158"/>
        <v>8.236</v>
      </c>
      <c r="BD142" s="169">
        <v>0</v>
      </c>
      <c r="BE142" s="171">
        <f t="shared" si="159"/>
        <v>0</v>
      </c>
      <c r="BF142" s="182">
        <v>0</v>
      </c>
      <c r="BG142" s="182">
        <f t="shared" si="160"/>
        <v>0</v>
      </c>
      <c r="BH142" s="182">
        <f t="shared" si="161"/>
        <v>0</v>
      </c>
      <c r="BI142" s="169">
        <f t="shared" si="162"/>
        <v>0</v>
      </c>
      <c r="BJ142" s="171">
        <f t="shared" si="163"/>
        <v>8.236</v>
      </c>
      <c r="BK142" s="171">
        <f t="shared" si="164"/>
        <v>0.15801903188024324</v>
      </c>
      <c r="BL142" s="171">
        <f t="shared" si="165"/>
        <v>8.394019031880244</v>
      </c>
      <c r="BM142" s="81">
        <f t="shared" si="166"/>
        <v>8.394019031880244</v>
      </c>
      <c r="BN142" s="63">
        <f t="shared" si="198"/>
        <v>8.236</v>
      </c>
      <c r="BO142" s="63">
        <f t="shared" si="167"/>
        <v>8.236</v>
      </c>
      <c r="BP142" s="63">
        <f t="shared" si="168"/>
        <v>0</v>
      </c>
      <c r="BQ142" s="63">
        <f t="shared" si="169"/>
        <v>0.1580190318802437</v>
      </c>
      <c r="BR142" s="67">
        <f t="shared" si="170"/>
        <v>34.790963136607154</v>
      </c>
      <c r="BS142" s="69">
        <f ca="1" t="shared" si="199"/>
        <v>1.26</v>
      </c>
      <c r="BT142" s="66">
        <f ca="1" t="shared" si="171"/>
        <v>10.377360000000001</v>
      </c>
      <c r="BU142" s="66">
        <f ca="1" t="shared" si="172"/>
        <v>8.394019031880244</v>
      </c>
      <c r="BV142" s="66">
        <f ca="1" t="shared" si="173"/>
        <v>1.983340968119757</v>
      </c>
      <c r="BW142" s="63">
        <f ca="1" t="shared" si="174"/>
        <v>0</v>
      </c>
      <c r="BX142" s="67">
        <f ca="1" t="shared" si="200"/>
        <v>40.42126793575007</v>
      </c>
      <c r="BY142" s="65">
        <f ca="1" t="shared" si="175"/>
        <v>0.16183239242430436</v>
      </c>
      <c r="BZ142" s="68">
        <f ca="1" t="shared" si="201"/>
        <v>0.008910011300282461</v>
      </c>
      <c r="CA142" s="81">
        <f t="shared" si="176"/>
        <v>8.236</v>
      </c>
      <c r="CB142" s="63">
        <f t="shared" si="177"/>
        <v>8.236</v>
      </c>
      <c r="CC142" s="67">
        <f t="shared" si="178"/>
        <v>35.90132553133049</v>
      </c>
      <c r="CD142" s="69">
        <f ca="1" t="shared" si="202"/>
        <v>1.26</v>
      </c>
      <c r="CE142" s="190">
        <f ca="1" t="shared" si="179"/>
        <v>10.377360000000001</v>
      </c>
      <c r="CF142" s="70">
        <f ca="1" t="shared" si="180"/>
        <v>10.377360000000001</v>
      </c>
      <c r="CG142" s="67">
        <f ca="1" t="shared" si="181"/>
        <v>39.30481757441425</v>
      </c>
      <c r="CH142" s="65">
        <f ca="1" t="shared" si="182"/>
        <v>0.09480129194989151</v>
      </c>
      <c r="CI142" s="65">
        <f ca="1" t="shared" si="203"/>
        <v>-0.0189564561361657</v>
      </c>
      <c r="CJ142" s="68">
        <f ca="1" t="shared" si="183"/>
        <v>-0.02762036963091874</v>
      </c>
      <c r="CL142" s="97">
        <f ca="1" t="shared" si="204"/>
        <v>3642071.6895550676</v>
      </c>
      <c r="CM142" s="97">
        <f ca="1" t="shared" si="205"/>
        <v>3685650.721045035</v>
      </c>
      <c r="CN142" s="97">
        <f ca="1" t="shared" si="206"/>
        <v>3674522.589465442</v>
      </c>
      <c r="CO142" s="97">
        <f ca="1" t="shared" si="184"/>
        <v>3573030.917327246</v>
      </c>
      <c r="CQ142" s="97">
        <f t="shared" si="207"/>
        <v>2449335.361847382</v>
      </c>
      <c r="CR142" s="97">
        <f t="shared" si="208"/>
        <v>2566742.2895421907</v>
      </c>
      <c r="CS142" s="97">
        <f t="shared" si="209"/>
        <v>2510076.1421635253</v>
      </c>
      <c r="CT142" s="97">
        <f t="shared" si="185"/>
        <v>2590185.8575860923</v>
      </c>
      <c r="CV142" s="97">
        <f ca="1" t="shared" si="210"/>
        <v>3642071.689555068</v>
      </c>
      <c r="CW142" s="97">
        <f ca="1" t="shared" si="186"/>
        <v>3685650.7210450345</v>
      </c>
      <c r="CX142" s="97">
        <f ca="1" t="shared" si="187"/>
        <v>3685650.7210450345</v>
      </c>
      <c r="CY142" s="97">
        <f ca="1" t="shared" si="188"/>
        <v>3573030.917327246</v>
      </c>
    </row>
    <row r="143" spans="2:103" ht="12.75">
      <c r="B143" s="14">
        <v>10451</v>
      </c>
      <c r="C143" s="15" t="s">
        <v>142</v>
      </c>
      <c r="D143" s="16">
        <f>RHWM!D130</f>
        <v>1</v>
      </c>
      <c r="E143" s="16">
        <f>RHWM!E130</f>
        <v>0</v>
      </c>
      <c r="F143" s="18">
        <f>RHWM!M130</f>
        <v>26.242</v>
      </c>
      <c r="G143" s="18">
        <f>RHWM!N130</f>
        <v>26.806</v>
      </c>
      <c r="H143" s="18">
        <f>RHWM!O130</f>
        <v>26.833</v>
      </c>
      <c r="I143" s="18">
        <v>0</v>
      </c>
      <c r="J143" s="18">
        <v>0</v>
      </c>
      <c r="K143" s="18">
        <v>0</v>
      </c>
      <c r="L143" s="18">
        <v>0</v>
      </c>
      <c r="M143" s="18">
        <v>0</v>
      </c>
      <c r="N143" s="18">
        <v>0</v>
      </c>
      <c r="O143" s="81">
        <f t="shared" si="130"/>
        <v>26.833</v>
      </c>
      <c r="P143" s="63">
        <f t="shared" si="131"/>
        <v>26.806</v>
      </c>
      <c r="Q143" s="63">
        <f t="shared" si="132"/>
        <v>26.806</v>
      </c>
      <c r="R143" s="63">
        <f t="shared" si="133"/>
        <v>0</v>
      </c>
      <c r="S143" s="63">
        <f t="shared" si="134"/>
        <v>0.02699999999999747</v>
      </c>
      <c r="T143" s="67">
        <f t="shared" si="189"/>
        <v>33.949064274110405</v>
      </c>
      <c r="U143" s="138">
        <f ca="1" t="shared" si="190"/>
        <v>1.01</v>
      </c>
      <c r="V143" s="66">
        <f ca="1" t="shared" si="191"/>
        <v>27.074060000000003</v>
      </c>
      <c r="W143" s="66">
        <f ca="1" t="shared" si="135"/>
        <v>26.833</v>
      </c>
      <c r="X143" s="66">
        <f ca="1" t="shared" si="136"/>
        <v>0.2410600000000045</v>
      </c>
      <c r="Y143" s="63">
        <f ca="1" t="shared" si="137"/>
        <v>0</v>
      </c>
      <c r="Z143" s="67">
        <f ca="1" t="shared" si="192"/>
        <v>35.160198917788975</v>
      </c>
      <c r="AA143" s="68">
        <f ca="1" t="shared" si="193"/>
        <v>0.03567505230481949</v>
      </c>
      <c r="AB143" s="169">
        <f t="shared" si="138"/>
        <v>26.806</v>
      </c>
      <c r="AC143" s="169">
        <f t="shared" si="139"/>
        <v>26.806</v>
      </c>
      <c r="AD143" s="169">
        <v>0</v>
      </c>
      <c r="AE143" s="171">
        <f t="shared" si="140"/>
        <v>0</v>
      </c>
      <c r="AF143" s="182">
        <v>0</v>
      </c>
      <c r="AG143" s="182">
        <f t="shared" si="141"/>
        <v>0</v>
      </c>
      <c r="AH143" s="182">
        <f t="shared" si="142"/>
        <v>0</v>
      </c>
      <c r="AI143" s="182">
        <v>0</v>
      </c>
      <c r="AJ143" s="171">
        <f t="shared" si="143"/>
        <v>0</v>
      </c>
      <c r="AK143" s="171">
        <f t="shared" si="144"/>
        <v>26.806</v>
      </c>
      <c r="AL143" s="171">
        <f t="shared" si="145"/>
        <v>1.7107057726169894</v>
      </c>
      <c r="AM143" s="171">
        <f t="shared" si="146"/>
        <v>28.51670577261699</v>
      </c>
      <c r="AN143" s="81">
        <f t="shared" si="147"/>
        <v>28.51670577261699</v>
      </c>
      <c r="AO143" s="63">
        <f t="shared" si="148"/>
        <v>26.806</v>
      </c>
      <c r="AP143" s="63">
        <f t="shared" si="149"/>
        <v>26.806</v>
      </c>
      <c r="AQ143" s="63">
        <f t="shared" si="150"/>
        <v>0</v>
      </c>
      <c r="AR143" s="63">
        <f t="shared" si="151"/>
        <v>1.7107057726169899</v>
      </c>
      <c r="AS143" s="67">
        <f t="shared" si="194"/>
        <v>35.5763854636149</v>
      </c>
      <c r="AT143" s="65">
        <f ca="1" t="shared" si="195"/>
        <v>1.01</v>
      </c>
      <c r="AU143" s="66">
        <f ca="1" t="shared" si="152"/>
        <v>27.074060000000003</v>
      </c>
      <c r="AV143" s="66">
        <f ca="1" t="shared" si="153"/>
        <v>27.074060000000003</v>
      </c>
      <c r="AW143" s="66">
        <f ca="1" t="shared" si="154"/>
        <v>0</v>
      </c>
      <c r="AX143" s="63">
        <f ca="1" t="shared" si="155"/>
        <v>1.442645772616988</v>
      </c>
      <c r="AY143" s="67">
        <f ca="1" t="shared" si="196"/>
        <v>36.38031310262951</v>
      </c>
      <c r="AZ143" s="65">
        <f ca="1" t="shared" si="156"/>
        <v>0.0225972264618286</v>
      </c>
      <c r="BA143" s="68">
        <f ca="1" t="shared" si="197"/>
        <v>0.03470157230035542</v>
      </c>
      <c r="BB143" s="169">
        <f t="shared" si="157"/>
        <v>26.806</v>
      </c>
      <c r="BC143" s="169">
        <f t="shared" si="158"/>
        <v>26.806</v>
      </c>
      <c r="BD143" s="169">
        <v>0</v>
      </c>
      <c r="BE143" s="171">
        <f t="shared" si="159"/>
        <v>0</v>
      </c>
      <c r="BF143" s="182">
        <v>0</v>
      </c>
      <c r="BG143" s="182">
        <f t="shared" si="160"/>
        <v>0</v>
      </c>
      <c r="BH143" s="182">
        <f t="shared" si="161"/>
        <v>0</v>
      </c>
      <c r="BI143" s="169">
        <f t="shared" si="162"/>
        <v>0</v>
      </c>
      <c r="BJ143" s="171">
        <f t="shared" si="163"/>
        <v>26.806</v>
      </c>
      <c r="BK143" s="171">
        <f t="shared" si="164"/>
        <v>0.5143101224601506</v>
      </c>
      <c r="BL143" s="171">
        <f t="shared" si="165"/>
        <v>27.320310122460153</v>
      </c>
      <c r="BM143" s="81">
        <f t="shared" si="166"/>
        <v>27.320310122460153</v>
      </c>
      <c r="BN143" s="63">
        <f t="shared" si="198"/>
        <v>26.806</v>
      </c>
      <c r="BO143" s="63">
        <f t="shared" si="167"/>
        <v>26.806</v>
      </c>
      <c r="BP143" s="63">
        <f t="shared" si="168"/>
        <v>0</v>
      </c>
      <c r="BQ143" s="63">
        <f t="shared" si="169"/>
        <v>0.5143101224601523</v>
      </c>
      <c r="BR143" s="67">
        <f t="shared" si="170"/>
        <v>34.790963136607154</v>
      </c>
      <c r="BS143" s="69">
        <f ca="1" t="shared" si="199"/>
        <v>1.01</v>
      </c>
      <c r="BT143" s="66">
        <f ca="1" t="shared" si="171"/>
        <v>27.074060000000003</v>
      </c>
      <c r="BU143" s="66">
        <f ca="1" t="shared" si="172"/>
        <v>27.074060000000003</v>
      </c>
      <c r="BV143" s="66">
        <f ca="1" t="shared" si="173"/>
        <v>0</v>
      </c>
      <c r="BW143" s="63">
        <f ca="1" t="shared" si="174"/>
        <v>0.24625012246015032</v>
      </c>
      <c r="BX143" s="67">
        <f ca="1" t="shared" si="200"/>
        <v>35.05800570624853</v>
      </c>
      <c r="BY143" s="65">
        <f ca="1" t="shared" si="175"/>
        <v>0.007675630266193778</v>
      </c>
      <c r="BZ143" s="68">
        <f ca="1" t="shared" si="201"/>
        <v>-0.002906502656011445</v>
      </c>
      <c r="CA143" s="81">
        <f t="shared" si="176"/>
        <v>26.806</v>
      </c>
      <c r="CB143" s="63">
        <f t="shared" si="177"/>
        <v>26.806</v>
      </c>
      <c r="CC143" s="67">
        <f t="shared" si="178"/>
        <v>35.90132553133049</v>
      </c>
      <c r="CD143" s="69">
        <f ca="1" t="shared" si="202"/>
        <v>1.01</v>
      </c>
      <c r="CE143" s="190">
        <f ca="1" t="shared" si="179"/>
        <v>27.074060000000003</v>
      </c>
      <c r="CF143" s="70">
        <f ca="1" t="shared" si="180"/>
        <v>27.074060000000003</v>
      </c>
      <c r="CG143" s="67">
        <f ca="1" t="shared" si="181"/>
        <v>39.30481757441425</v>
      </c>
      <c r="CH143" s="65">
        <f ca="1" t="shared" si="182"/>
        <v>0.09480129194989151</v>
      </c>
      <c r="CI143" s="65">
        <f ca="1" t="shared" si="203"/>
        <v>0.11787813448712736</v>
      </c>
      <c r="CJ143" s="68">
        <f ca="1" t="shared" si="183"/>
        <v>0.12113672134546993</v>
      </c>
      <c r="CL143" s="97">
        <f ca="1" t="shared" si="204"/>
        <v>8338900.975582466</v>
      </c>
      <c r="CM143" s="97">
        <f ca="1" t="shared" si="205"/>
        <v>8628273.950692147</v>
      </c>
      <c r="CN143" s="97">
        <f ca="1" t="shared" si="206"/>
        <v>8314663.937748721</v>
      </c>
      <c r="CO143" s="97">
        <f ca="1" t="shared" si="184"/>
        <v>9321875.066257015</v>
      </c>
      <c r="CQ143" s="97">
        <f t="shared" si="207"/>
        <v>7971938.284322599</v>
      </c>
      <c r="CR143" s="97">
        <f t="shared" si="208"/>
        <v>8354066.75734191</v>
      </c>
      <c r="CS143" s="97">
        <f t="shared" si="209"/>
        <v>8169633.446677448</v>
      </c>
      <c r="CT143" s="97">
        <f t="shared" si="185"/>
        <v>8430369.366009323</v>
      </c>
      <c r="CV143" s="97">
        <f ca="1" t="shared" si="210"/>
        <v>8338900.975582468</v>
      </c>
      <c r="CW143" s="97">
        <f ca="1" t="shared" si="186"/>
        <v>8628273.950692147</v>
      </c>
      <c r="CX143" s="97">
        <f ca="1" t="shared" si="187"/>
        <v>8628273.950692147</v>
      </c>
      <c r="CY143" s="97">
        <f ca="1" t="shared" si="188"/>
        <v>9321875.066257015</v>
      </c>
    </row>
    <row r="144" spans="2:103" ht="12.75">
      <c r="B144" s="14">
        <v>10482</v>
      </c>
      <c r="C144" s="15" t="s">
        <v>143</v>
      </c>
      <c r="D144" s="16">
        <f>RHWM!D131</f>
        <v>1</v>
      </c>
      <c r="E144" s="16">
        <f>RHWM!E131</f>
        <v>0</v>
      </c>
      <c r="F144" s="18">
        <f>RHWM!M131</f>
        <v>2.775</v>
      </c>
      <c r="G144" s="18">
        <f>RHWM!N131</f>
        <v>2.809</v>
      </c>
      <c r="H144" s="18">
        <f>RHWM!O131</f>
        <v>4.114</v>
      </c>
      <c r="I144" s="18">
        <v>0</v>
      </c>
      <c r="J144" s="18">
        <v>0</v>
      </c>
      <c r="K144" s="18">
        <v>0</v>
      </c>
      <c r="L144" s="18">
        <v>0</v>
      </c>
      <c r="M144" s="18">
        <v>0</v>
      </c>
      <c r="N144" s="18">
        <v>0</v>
      </c>
      <c r="O144" s="81">
        <f t="shared" si="130"/>
        <v>4.114</v>
      </c>
      <c r="P144" s="63">
        <f t="shared" si="131"/>
        <v>2.809</v>
      </c>
      <c r="Q144" s="63">
        <f t="shared" si="132"/>
        <v>2.809</v>
      </c>
      <c r="R144" s="63">
        <f t="shared" si="133"/>
        <v>0</v>
      </c>
      <c r="S144" s="63">
        <f t="shared" si="134"/>
        <v>1.3049999999999997</v>
      </c>
      <c r="T144" s="67">
        <f t="shared" si="189"/>
        <v>33.949064274110405</v>
      </c>
      <c r="U144" s="138">
        <f ca="1" t="shared" si="190"/>
        <v>0.9</v>
      </c>
      <c r="V144" s="66">
        <f ca="1" t="shared" si="191"/>
        <v>2.5281000000000002</v>
      </c>
      <c r="W144" s="66">
        <f ca="1" t="shared" si="135"/>
        <v>2.5281000000000002</v>
      </c>
      <c r="X144" s="66">
        <f ca="1" t="shared" si="136"/>
        <v>0</v>
      </c>
      <c r="Y144" s="63">
        <f ca="1" t="shared" si="137"/>
        <v>1.5858999999999996</v>
      </c>
      <c r="Z144" s="67">
        <f ca="1" t="shared" si="192"/>
        <v>34.90901605903751</v>
      </c>
      <c r="AA144" s="68">
        <f ca="1" t="shared" si="193"/>
        <v>0.028276236928838294</v>
      </c>
      <c r="AB144" s="169">
        <f t="shared" si="138"/>
        <v>2.809</v>
      </c>
      <c r="AC144" s="169">
        <f t="shared" si="139"/>
        <v>5</v>
      </c>
      <c r="AD144" s="169">
        <v>0</v>
      </c>
      <c r="AE144" s="171">
        <f t="shared" si="140"/>
        <v>0</v>
      </c>
      <c r="AF144" s="182">
        <v>0</v>
      </c>
      <c r="AG144" s="182">
        <f t="shared" si="141"/>
        <v>0</v>
      </c>
      <c r="AH144" s="182">
        <f t="shared" si="142"/>
        <v>0</v>
      </c>
      <c r="AI144" s="182">
        <v>0</v>
      </c>
      <c r="AJ144" s="171">
        <f t="shared" si="143"/>
        <v>0</v>
      </c>
      <c r="AK144" s="171">
        <f t="shared" si="144"/>
        <v>5</v>
      </c>
      <c r="AL144" s="171">
        <f t="shared" si="145"/>
        <v>0.31909008666287203</v>
      </c>
      <c r="AM144" s="171">
        <f t="shared" si="146"/>
        <v>5.319090086662872</v>
      </c>
      <c r="AN144" s="81">
        <f t="shared" si="147"/>
        <v>5.319090086662872</v>
      </c>
      <c r="AO144" s="63">
        <f t="shared" si="148"/>
        <v>2.809</v>
      </c>
      <c r="AP144" s="63">
        <f t="shared" si="149"/>
        <v>2.809</v>
      </c>
      <c r="AQ144" s="63">
        <f t="shared" si="150"/>
        <v>0</v>
      </c>
      <c r="AR144" s="63">
        <f t="shared" si="151"/>
        <v>2.5100900866628715</v>
      </c>
      <c r="AS144" s="67">
        <f t="shared" si="194"/>
        <v>35.5763854636149</v>
      </c>
      <c r="AT144" s="65">
        <f ca="1" t="shared" si="195"/>
        <v>0.9</v>
      </c>
      <c r="AU144" s="66">
        <f ca="1" t="shared" si="152"/>
        <v>2.5281000000000002</v>
      </c>
      <c r="AV144" s="66">
        <f ca="1" t="shared" si="153"/>
        <v>2.5281000000000002</v>
      </c>
      <c r="AW144" s="66">
        <f ca="1" t="shared" si="154"/>
        <v>0</v>
      </c>
      <c r="AX144" s="63">
        <f ca="1" t="shared" si="155"/>
        <v>2.7909900866628714</v>
      </c>
      <c r="AY144" s="67">
        <f ca="1" t="shared" si="196"/>
        <v>36.38031310262951</v>
      </c>
      <c r="AZ144" s="65">
        <f ca="1" t="shared" si="156"/>
        <v>0.0225972264618286</v>
      </c>
      <c r="BA144" s="68">
        <f ca="1" t="shared" si="197"/>
        <v>0.0421466202629075</v>
      </c>
      <c r="BB144" s="169">
        <f t="shared" si="157"/>
        <v>2.809</v>
      </c>
      <c r="BC144" s="169">
        <f t="shared" si="158"/>
        <v>5</v>
      </c>
      <c r="BD144" s="169">
        <v>0</v>
      </c>
      <c r="BE144" s="171">
        <f t="shared" si="159"/>
        <v>0</v>
      </c>
      <c r="BF144" s="182">
        <v>0</v>
      </c>
      <c r="BG144" s="182">
        <f t="shared" si="160"/>
        <v>0</v>
      </c>
      <c r="BH144" s="182">
        <f t="shared" si="161"/>
        <v>0</v>
      </c>
      <c r="BI144" s="169">
        <f t="shared" si="162"/>
        <v>0</v>
      </c>
      <c r="BJ144" s="171">
        <f t="shared" si="163"/>
        <v>5</v>
      </c>
      <c r="BK144" s="171">
        <f t="shared" si="164"/>
        <v>0.09593190376411076</v>
      </c>
      <c r="BL144" s="171">
        <f t="shared" si="165"/>
        <v>5.095931903764111</v>
      </c>
      <c r="BM144" s="81">
        <f t="shared" si="166"/>
        <v>5.095931903764111</v>
      </c>
      <c r="BN144" s="63">
        <f t="shared" si="198"/>
        <v>2.809</v>
      </c>
      <c r="BO144" s="63">
        <f t="shared" si="167"/>
        <v>2.809</v>
      </c>
      <c r="BP144" s="63">
        <f t="shared" si="168"/>
        <v>0</v>
      </c>
      <c r="BQ144" s="63">
        <f t="shared" si="169"/>
        <v>2.2869319037641107</v>
      </c>
      <c r="BR144" s="67">
        <f t="shared" si="170"/>
        <v>34.790963136607154</v>
      </c>
      <c r="BS144" s="69">
        <f ca="1" t="shared" si="199"/>
        <v>0.9</v>
      </c>
      <c r="BT144" s="66">
        <f ca="1" t="shared" si="171"/>
        <v>2.5281000000000002</v>
      </c>
      <c r="BU144" s="66">
        <f ca="1" t="shared" si="172"/>
        <v>2.5281000000000002</v>
      </c>
      <c r="BV144" s="66">
        <f ca="1" t="shared" si="173"/>
        <v>0</v>
      </c>
      <c r="BW144" s="63">
        <f ca="1" t="shared" si="174"/>
        <v>2.5678319037641106</v>
      </c>
      <c r="BX144" s="67">
        <f ca="1" t="shared" si="200"/>
        <v>35.05800570624853</v>
      </c>
      <c r="BY144" s="65">
        <f ca="1" t="shared" si="175"/>
        <v>0.007675630266193778</v>
      </c>
      <c r="BZ144" s="68">
        <f ca="1" t="shared" si="201"/>
        <v>0.0042679417534727815</v>
      </c>
      <c r="CA144" s="81">
        <f t="shared" si="176"/>
        <v>2.809</v>
      </c>
      <c r="CB144" s="63">
        <f t="shared" si="177"/>
        <v>2.809</v>
      </c>
      <c r="CC144" s="67">
        <f t="shared" si="178"/>
        <v>35.90132553133049</v>
      </c>
      <c r="CD144" s="69">
        <f ca="1" t="shared" si="202"/>
        <v>0.9</v>
      </c>
      <c r="CE144" s="190">
        <f ca="1" t="shared" si="179"/>
        <v>2.5281000000000002</v>
      </c>
      <c r="CF144" s="70">
        <f ca="1" t="shared" si="180"/>
        <v>2.5281000000000002</v>
      </c>
      <c r="CG144" s="67">
        <f ca="1" t="shared" si="181"/>
        <v>39.30481757441425</v>
      </c>
      <c r="CH144" s="65">
        <f ca="1" t="shared" si="182"/>
        <v>0.09480129194989151</v>
      </c>
      <c r="CI144" s="65">
        <f ca="1" t="shared" si="203"/>
        <v>0.1259216675698518</v>
      </c>
      <c r="CJ144" s="68">
        <f ca="1" t="shared" si="183"/>
        <v>0.12113672134546993</v>
      </c>
      <c r="CL144" s="97">
        <f ca="1" t="shared" si="204"/>
        <v>773100.51544995</v>
      </c>
      <c r="CM144" s="97">
        <f ca="1" t="shared" si="205"/>
        <v>805684.0892996772</v>
      </c>
      <c r="CN144" s="97">
        <f ca="1" t="shared" si="206"/>
        <v>776400.0634194702</v>
      </c>
      <c r="CO144" s="97">
        <f ca="1" t="shared" si="184"/>
        <v>870450.6215545196</v>
      </c>
      <c r="CQ144" s="97">
        <f t="shared" si="207"/>
        <v>835379.1927427509</v>
      </c>
      <c r="CR144" s="97">
        <f t="shared" si="208"/>
        <v>875422.4248814976</v>
      </c>
      <c r="CS144" s="97">
        <f t="shared" si="209"/>
        <v>856095.6633483904</v>
      </c>
      <c r="CT144" s="97">
        <f t="shared" si="185"/>
        <v>883418.1731373644</v>
      </c>
      <c r="CV144" s="97">
        <f ca="1" t="shared" si="210"/>
        <v>773100.51544995</v>
      </c>
      <c r="CW144" s="97">
        <f ca="1" t="shared" si="186"/>
        <v>805684.0892996772</v>
      </c>
      <c r="CX144" s="97">
        <f ca="1" t="shared" si="187"/>
        <v>805684.0892996772</v>
      </c>
      <c r="CY144" s="97">
        <f ca="1" t="shared" si="188"/>
        <v>870450.6215545196</v>
      </c>
    </row>
    <row r="145" spans="2:103" ht="12.75">
      <c r="B145" s="14">
        <v>10502</v>
      </c>
      <c r="C145" s="15" t="s">
        <v>144</v>
      </c>
      <c r="D145" s="16">
        <f>RHWM!D132</f>
        <v>1</v>
      </c>
      <c r="E145" s="16">
        <f>RHWM!E132</f>
        <v>0</v>
      </c>
      <c r="F145" s="18">
        <f>RHWM!M132</f>
        <v>18.615</v>
      </c>
      <c r="G145" s="18">
        <f>RHWM!N132</f>
        <v>18.718</v>
      </c>
      <c r="H145" s="18">
        <f>RHWM!O132</f>
        <v>18.707</v>
      </c>
      <c r="I145" s="18">
        <v>0</v>
      </c>
      <c r="J145" s="18">
        <v>0.011</v>
      </c>
      <c r="K145" s="18">
        <v>0</v>
      </c>
      <c r="L145" s="18">
        <v>0.011</v>
      </c>
      <c r="M145" s="18">
        <v>0</v>
      </c>
      <c r="N145" s="18">
        <v>0</v>
      </c>
      <c r="O145" s="81">
        <f t="shared" si="130"/>
        <v>18.707</v>
      </c>
      <c r="P145" s="63">
        <f t="shared" si="131"/>
        <v>18.718</v>
      </c>
      <c r="Q145" s="63">
        <f t="shared" si="132"/>
        <v>18.707</v>
      </c>
      <c r="R145" s="63">
        <f t="shared" si="133"/>
        <v>0.010999999999999233</v>
      </c>
      <c r="S145" s="63">
        <f t="shared" si="134"/>
        <v>0</v>
      </c>
      <c r="T145" s="67">
        <f aca="true" t="shared" si="211" ref="T145:T151">(Q145*$T$14+R145*$T$5)/(Q145+R145)</f>
        <v>33.96620714690583</v>
      </c>
      <c r="U145" s="138">
        <f aca="true" t="shared" si="212" ref="U145:U151">RANDBETWEEN($Z$2,$Z$3)/100</f>
        <v>1.25</v>
      </c>
      <c r="V145" s="66">
        <f aca="true" t="shared" si="213" ref="V145:V151">G145*U145</f>
        <v>23.3975</v>
      </c>
      <c r="W145" s="66">
        <f ca="1" t="shared" si="135"/>
        <v>18.707</v>
      </c>
      <c r="X145" s="66">
        <f ca="1" t="shared" si="136"/>
        <v>4.6905</v>
      </c>
      <c r="Y145" s="63">
        <f ca="1" t="shared" si="137"/>
        <v>0</v>
      </c>
      <c r="Z145" s="67">
        <f ca="1" t="shared" si="192"/>
        <v>40.564475837863654</v>
      </c>
      <c r="AA145" s="68">
        <f aca="true" t="shared" si="214" ref="AA145:AA151">Z145/T145-1</f>
        <v>0.1942598024683746</v>
      </c>
      <c r="AB145" s="169">
        <f t="shared" si="138"/>
        <v>18.707</v>
      </c>
      <c r="AC145" s="169">
        <f t="shared" si="139"/>
        <v>18.707</v>
      </c>
      <c r="AD145" s="169">
        <v>0</v>
      </c>
      <c r="AE145" s="171">
        <f t="shared" si="140"/>
        <v>0</v>
      </c>
      <c r="AF145" s="182">
        <v>0</v>
      </c>
      <c r="AG145" s="182">
        <f t="shared" si="141"/>
        <v>0</v>
      </c>
      <c r="AH145" s="182">
        <f t="shared" si="142"/>
        <v>0</v>
      </c>
      <c r="AI145" s="182">
        <v>0</v>
      </c>
      <c r="AJ145" s="171">
        <f t="shared" si="143"/>
        <v>0.005499999999999616</v>
      </c>
      <c r="AK145" s="171">
        <f t="shared" si="144"/>
        <v>18.7125</v>
      </c>
      <c r="AL145" s="171">
        <f t="shared" si="145"/>
        <v>1.1941946493357984</v>
      </c>
      <c r="AM145" s="171">
        <f t="shared" si="146"/>
        <v>19.906694649335797</v>
      </c>
      <c r="AN145" s="81">
        <f t="shared" si="147"/>
        <v>19.906694649335797</v>
      </c>
      <c r="AO145" s="63">
        <f t="shared" si="148"/>
        <v>18.718</v>
      </c>
      <c r="AP145" s="63">
        <f t="shared" si="149"/>
        <v>18.718</v>
      </c>
      <c r="AQ145" s="63">
        <f t="shared" si="150"/>
        <v>0</v>
      </c>
      <c r="AR145" s="63">
        <f t="shared" si="151"/>
        <v>1.1886946493357975</v>
      </c>
      <c r="AS145" s="67">
        <f aca="true" t="shared" si="215" ref="AS145:AS151">(AP145*$AS$14+AQ145*$T$5)/(AP145+AQ145)</f>
        <v>35.5763854636149</v>
      </c>
      <c r="AT145" s="65">
        <f aca="true" t="shared" si="216" ref="AT145:AT151">U145</f>
        <v>1.25</v>
      </c>
      <c r="AU145" s="66">
        <f ca="1" t="shared" si="152"/>
        <v>23.3975</v>
      </c>
      <c r="AV145" s="66">
        <f ca="1" t="shared" si="153"/>
        <v>19.906694649335797</v>
      </c>
      <c r="AW145" s="66">
        <f ca="1" t="shared" si="154"/>
        <v>3.4908053506642034</v>
      </c>
      <c r="AX145" s="63">
        <f ca="1" t="shared" si="155"/>
        <v>0</v>
      </c>
      <c r="AY145" s="67">
        <f aca="true" t="shared" si="217" ref="AY145:AY151">(AV145*$AY$14+AW145*$T$5)/(AV145+AW145)</f>
        <v>40.36975821840796</v>
      </c>
      <c r="AZ145" s="65">
        <f ca="1" t="shared" si="156"/>
        <v>0.13473467560934194</v>
      </c>
      <c r="BA145" s="68">
        <f aca="true" t="shared" si="218" ref="BA145:BA151">AY145/Z145-1</f>
        <v>-0.004800200555628575</v>
      </c>
      <c r="BB145" s="169">
        <f t="shared" si="157"/>
        <v>18.707</v>
      </c>
      <c r="BC145" s="169">
        <f t="shared" si="158"/>
        <v>18.707</v>
      </c>
      <c r="BD145" s="169">
        <v>0</v>
      </c>
      <c r="BE145" s="171">
        <f t="shared" si="159"/>
        <v>0</v>
      </c>
      <c r="BF145" s="182">
        <v>0</v>
      </c>
      <c r="BG145" s="182">
        <f t="shared" si="160"/>
        <v>0</v>
      </c>
      <c r="BH145" s="182">
        <f t="shared" si="161"/>
        <v>0</v>
      </c>
      <c r="BI145" s="169">
        <f t="shared" si="162"/>
        <v>0.002749999999999808</v>
      </c>
      <c r="BJ145" s="171">
        <f t="shared" si="163"/>
        <v>18.70975</v>
      </c>
      <c r="BK145" s="171">
        <f t="shared" si="164"/>
        <v>0.3589723872901142</v>
      </c>
      <c r="BL145" s="171">
        <f t="shared" si="165"/>
        <v>19.068722387290112</v>
      </c>
      <c r="BM145" s="81">
        <f t="shared" si="166"/>
        <v>19.068722387290112</v>
      </c>
      <c r="BN145" s="63">
        <f aca="true" t="shared" si="219" ref="BN145:BN151">P145</f>
        <v>18.718</v>
      </c>
      <c r="BO145" s="63">
        <f t="shared" si="167"/>
        <v>18.718</v>
      </c>
      <c r="BP145" s="63">
        <f t="shared" si="168"/>
        <v>0</v>
      </c>
      <c r="BQ145" s="63">
        <f t="shared" si="169"/>
        <v>0.3507223872901122</v>
      </c>
      <c r="BR145" s="67">
        <f t="shared" si="170"/>
        <v>34.790963136607154</v>
      </c>
      <c r="BS145" s="69">
        <f aca="true" t="shared" si="220" ref="BS145:BS151">U145</f>
        <v>1.25</v>
      </c>
      <c r="BT145" s="66">
        <f ca="1" t="shared" si="171"/>
        <v>23.3975</v>
      </c>
      <c r="BU145" s="66">
        <f ca="1" t="shared" si="172"/>
        <v>19.068722387290112</v>
      </c>
      <c r="BV145" s="66">
        <f ca="1" t="shared" si="173"/>
        <v>4.328777612709889</v>
      </c>
      <c r="BW145" s="63">
        <f ca="1" t="shared" si="174"/>
        <v>0</v>
      </c>
      <c r="BX145" s="67">
        <f aca="true" t="shared" si="221" ref="BX145:BX151">(BU145*$BX$14+BV145*$T$5)/(BU145+BV145)</f>
        <v>40.24976263185101</v>
      </c>
      <c r="BY145" s="65">
        <f ca="1" t="shared" si="175"/>
        <v>0.15690279897713144</v>
      </c>
      <c r="BZ145" s="68">
        <f aca="true" t="shared" si="222" ref="BZ145:BZ151">BX145/Z145-1</f>
        <v>-0.007758345190273186</v>
      </c>
      <c r="CA145" s="81">
        <f t="shared" si="176"/>
        <v>18.718</v>
      </c>
      <c r="CB145" s="63">
        <f t="shared" si="177"/>
        <v>18.718</v>
      </c>
      <c r="CC145" s="67">
        <f t="shared" si="178"/>
        <v>35.90132553133049</v>
      </c>
      <c r="CD145" s="69">
        <f aca="true" t="shared" si="223" ref="CD145:CD151">U145</f>
        <v>1.25</v>
      </c>
      <c r="CE145" s="190">
        <f ca="1" t="shared" si="179"/>
        <v>23.3975</v>
      </c>
      <c r="CF145" s="70">
        <f ca="1" t="shared" si="180"/>
        <v>23.3975</v>
      </c>
      <c r="CG145" s="67">
        <f ca="1" t="shared" si="181"/>
        <v>39.30481757441425</v>
      </c>
      <c r="CH145" s="65">
        <f ca="1" t="shared" si="182"/>
        <v>0.09480129194989151</v>
      </c>
      <c r="CI145" s="65">
        <f aca="true" t="shared" si="224" ref="CI145:CI151">CG145/Z145-1</f>
        <v>-0.031053236543330698</v>
      </c>
      <c r="CJ145" s="68">
        <f ca="1" t="shared" si="183"/>
        <v>-0.023477034289116405</v>
      </c>
      <c r="CL145" s="97">
        <f aca="true" t="shared" si="225" ref="CL145:CL150">W145*$Z$14*8760+X145*$T$5*8760</f>
        <v>8314180.153127793</v>
      </c>
      <c r="CM145" s="97">
        <f aca="true" t="shared" si="226" ref="CM145:CM150">AV145*$AY$14*8760+AW145*$T$5*8760</f>
        <v>8274270.420937154</v>
      </c>
      <c r="CN145" s="97">
        <f aca="true" t="shared" si="227" ref="CN145:CN150">BU145*$BX$14*8760+BV145*$T$5*8760</f>
        <v>8249675.873525711</v>
      </c>
      <c r="CO145" s="97">
        <f ca="1" t="shared" si="184"/>
        <v>8055997.950168852</v>
      </c>
      <c r="CQ145" s="97">
        <f aca="true" t="shared" si="228" ref="CQ145:CQ150">Q145*8760*$T$14+R145*8760*$T$5</f>
        <v>5569428.116691862</v>
      </c>
      <c r="CR145" s="97">
        <f aca="true" t="shared" si="229" ref="CR145:CR150">AP145*8760*$AS$14+AQ145*8760*$T$5</f>
        <v>5833448.540025586</v>
      </c>
      <c r="CS145" s="97">
        <f aca="true" t="shared" si="230" ref="CS145:CS150">BO145*8760*$BR$14+BP145*8760*$T$5</f>
        <v>5704663.092401271</v>
      </c>
      <c r="CT145" s="97">
        <f t="shared" si="185"/>
        <v>5886728.85894809</v>
      </c>
      <c r="CV145" s="97">
        <f aca="true" t="shared" si="231" ref="CV145:CV150">Z145*8760*V145</f>
        <v>8314180.153127794</v>
      </c>
      <c r="CW145" s="97">
        <f ca="1" t="shared" si="186"/>
        <v>8274270.420937154</v>
      </c>
      <c r="CX145" s="97">
        <f ca="1" t="shared" si="187"/>
        <v>8274270.420937154</v>
      </c>
      <c r="CY145" s="97">
        <f ca="1" t="shared" si="188"/>
        <v>8055997.950168851</v>
      </c>
    </row>
    <row r="146" spans="2:103" ht="12.75">
      <c r="B146" s="14">
        <v>13927</v>
      </c>
      <c r="C146" s="15" t="s">
        <v>160</v>
      </c>
      <c r="D146" s="16">
        <f>RHWM!D133</f>
        <v>1</v>
      </c>
      <c r="E146" s="16">
        <f>RHWM!E133</f>
        <v>0</v>
      </c>
      <c r="F146" s="18">
        <f>RHWM!M133</f>
        <v>3.566</v>
      </c>
      <c r="G146" s="18">
        <f>RHWM!N133</f>
        <v>4.068</v>
      </c>
      <c r="H146" s="18">
        <f>RHWM!O133</f>
        <v>4.073</v>
      </c>
      <c r="I146" s="18">
        <v>0</v>
      </c>
      <c r="J146" s="18">
        <v>0</v>
      </c>
      <c r="K146" s="18">
        <v>0</v>
      </c>
      <c r="L146" s="18">
        <v>0</v>
      </c>
      <c r="M146" s="18">
        <v>0</v>
      </c>
      <c r="N146" s="18">
        <v>0</v>
      </c>
      <c r="O146" s="81">
        <f aca="true" t="shared" si="232" ref="O146:O151">H146</f>
        <v>4.073</v>
      </c>
      <c r="P146" s="63">
        <f aca="true" t="shared" si="233" ref="P146:P151">G146</f>
        <v>4.068</v>
      </c>
      <c r="Q146" s="63">
        <f aca="true" t="shared" si="234" ref="Q146:Q151">MIN(P146,O146)</f>
        <v>4.068</v>
      </c>
      <c r="R146" s="63">
        <f aca="true" t="shared" si="235" ref="R146:R151">MAX(0,P146-O146)</f>
        <v>0</v>
      </c>
      <c r="S146" s="63">
        <f aca="true" t="shared" si="236" ref="S146:S151">MAX(0,O146-P146)</f>
        <v>0.005000000000000782</v>
      </c>
      <c r="T146" s="67">
        <f t="shared" si="211"/>
        <v>33.949064274110405</v>
      </c>
      <c r="U146" s="138">
        <f ca="1" t="shared" si="212"/>
        <v>1.29</v>
      </c>
      <c r="V146" s="66">
        <f ca="1" t="shared" si="213"/>
        <v>5.247719999999999</v>
      </c>
      <c r="W146" s="66">
        <f aca="true" t="shared" si="237" ref="W146:W151">MIN(V146,O146)</f>
        <v>4.073</v>
      </c>
      <c r="X146" s="66">
        <f aca="true" t="shared" si="238" ref="X146:X151">MAX(0,V146-O146)</f>
        <v>1.1747199999999989</v>
      </c>
      <c r="Y146" s="63">
        <f aca="true" t="shared" si="239" ref="Y146:Y151">MAX(0,O146-V146)</f>
        <v>0</v>
      </c>
      <c r="Z146" s="67">
        <f ca="1" t="shared" si="192"/>
        <v>41.224140923764935</v>
      </c>
      <c r="AA146" s="68">
        <f ca="1" t="shared" si="214"/>
        <v>0.21429387835005853</v>
      </c>
      <c r="AB146" s="169">
        <f aca="true" t="shared" si="240" ref="AB146:AB151">MIN(O146,Q146)</f>
        <v>4.068</v>
      </c>
      <c r="AC146" s="169">
        <f aca="true" t="shared" si="241" ref="AC146:AC151">IF(AB146&lt;5,MIN($AC$15,AB146*$AC$14),AB146)</f>
        <v>5</v>
      </c>
      <c r="AD146" s="169">
        <v>0</v>
      </c>
      <c r="AE146" s="171">
        <f aca="true" t="shared" si="242" ref="AE146:AE151">AD146*$AE$15</f>
        <v>0</v>
      </c>
      <c r="AF146" s="182">
        <v>0</v>
      </c>
      <c r="AG146" s="182">
        <f aca="true" t="shared" si="243" ref="AG146:AG151">IF($AE$12="No",0,AF146)</f>
        <v>0</v>
      </c>
      <c r="AH146" s="182">
        <f aca="true" t="shared" si="244" ref="AH146:AH151">AG146*$AH$15</f>
        <v>0</v>
      </c>
      <c r="AI146" s="182">
        <v>0</v>
      </c>
      <c r="AJ146" s="171">
        <f aca="true" t="shared" si="245" ref="AJ146:AJ151">R146*$AJ$15</f>
        <v>0</v>
      </c>
      <c r="AK146" s="171">
        <f aca="true" t="shared" si="246" ref="AK146:AK151">AC146+AE146+AJ146</f>
        <v>5</v>
      </c>
      <c r="AL146" s="171">
        <f aca="true" t="shared" si="247" ref="AL146:AL151">AK146/$AK$15*$AL$15</f>
        <v>0.31909008666287203</v>
      </c>
      <c r="AM146" s="171">
        <f aca="true" t="shared" si="248" ref="AM146:AM151">AK146+AL146</f>
        <v>5.319090086662872</v>
      </c>
      <c r="AN146" s="81">
        <f aca="true" t="shared" si="249" ref="AN146:AN151">AM146</f>
        <v>5.319090086662872</v>
      </c>
      <c r="AO146" s="63">
        <f aca="true" t="shared" si="250" ref="AO146:AO151">P146</f>
        <v>4.068</v>
      </c>
      <c r="AP146" s="63">
        <f aca="true" t="shared" si="251" ref="AP146:AP151">MIN(AO146,AN146)</f>
        <v>4.068</v>
      </c>
      <c r="AQ146" s="63">
        <f aca="true" t="shared" si="252" ref="AQ146:AQ151">MAX(0,AO146-AN146)</f>
        <v>0</v>
      </c>
      <c r="AR146" s="63">
        <f aca="true" t="shared" si="253" ref="AR146:AR151">MAX(0,AN146-AO146)</f>
        <v>1.251090086662872</v>
      </c>
      <c r="AS146" s="67">
        <f t="shared" si="215"/>
        <v>35.5763854636149</v>
      </c>
      <c r="AT146" s="65">
        <f ca="1" t="shared" si="216"/>
        <v>1.29</v>
      </c>
      <c r="AU146" s="66">
        <f aca="true" t="shared" si="254" ref="AU146:AU151">AT146*AO146</f>
        <v>5.247719999999999</v>
      </c>
      <c r="AV146" s="66">
        <f aca="true" t="shared" si="255" ref="AV146:AV151">MIN(AU146,AN146)</f>
        <v>5.247719999999999</v>
      </c>
      <c r="AW146" s="66">
        <f aca="true" t="shared" si="256" ref="AW146:AW151">MAX(0,AU146-AN146)</f>
        <v>0</v>
      </c>
      <c r="AX146" s="63">
        <f aca="true" t="shared" si="257" ref="AX146:AX151">MAX(0,AN146-AU146)</f>
        <v>0.07137008666287237</v>
      </c>
      <c r="AY146" s="67">
        <f ca="1" t="shared" si="217"/>
        <v>36.38031310262951</v>
      </c>
      <c r="AZ146" s="65">
        <f aca="true" t="shared" si="258" ref="AZ146:AZ151">AY146/AS146-1</f>
        <v>0.0225972264618286</v>
      </c>
      <c r="BA146" s="68">
        <f ca="1" t="shared" si="218"/>
        <v>-0.11749978805120598</v>
      </c>
      <c r="BB146" s="169">
        <f aca="true" t="shared" si="259" ref="BB146:BB151">MIN(O146,Q146)</f>
        <v>4.068</v>
      </c>
      <c r="BC146" s="169">
        <f aca="true" t="shared" si="260" ref="BC146:BC151">IF(BB146&lt;$BC$15,MIN($BC$15,BB146*$BC$14),BB146)</f>
        <v>5</v>
      </c>
      <c r="BD146" s="169">
        <v>0</v>
      </c>
      <c r="BE146" s="171">
        <f aca="true" t="shared" si="261" ref="BE146:BE151">BD146*$BE$15</f>
        <v>0</v>
      </c>
      <c r="BF146" s="182">
        <v>0</v>
      </c>
      <c r="BG146" s="182">
        <f aca="true" t="shared" si="262" ref="BG146:BG151">IF($AE$12="No",0,BF146)</f>
        <v>0</v>
      </c>
      <c r="BH146" s="182">
        <f aca="true" t="shared" si="263" ref="BH146:BH151">BG146*$BH$15</f>
        <v>0</v>
      </c>
      <c r="BI146" s="169">
        <f aca="true" t="shared" si="264" ref="BI146:BI151">$BI$15*R146</f>
        <v>0</v>
      </c>
      <c r="BJ146" s="171">
        <f aca="true" t="shared" si="265" ref="BJ146:BJ151">BC146+BE146+BI146</f>
        <v>5</v>
      </c>
      <c r="BK146" s="171">
        <f aca="true" t="shared" si="266" ref="BK146:BK151">BJ146/$BJ$15*$BK$15</f>
        <v>0.09593190376411076</v>
      </c>
      <c r="BL146" s="171">
        <f aca="true" t="shared" si="267" ref="BL146:BL151">BJ146+BK146</f>
        <v>5.095931903764111</v>
      </c>
      <c r="BM146" s="81">
        <f aca="true" t="shared" si="268" ref="BM146:BM151">BL146</f>
        <v>5.095931903764111</v>
      </c>
      <c r="BN146" s="63">
        <f t="shared" si="219"/>
        <v>4.068</v>
      </c>
      <c r="BO146" s="63">
        <f aca="true" t="shared" si="269" ref="BO146:BO151">MIN(BN146,BM146)</f>
        <v>4.068</v>
      </c>
      <c r="BP146" s="63">
        <f aca="true" t="shared" si="270" ref="BP146:BP151">MAX(0,BN146-BM146)</f>
        <v>0</v>
      </c>
      <c r="BQ146" s="63">
        <f aca="true" t="shared" si="271" ref="BQ146:BQ151">MAX(0,BM146-BN146)</f>
        <v>1.0279319037641113</v>
      </c>
      <c r="BR146" s="67">
        <f aca="true" t="shared" si="272" ref="BR146:BR151">(BO146*$BR$14+BP146*$T$5)/(BO146+BP146)</f>
        <v>34.790963136607154</v>
      </c>
      <c r="BS146" s="69">
        <f ca="1" t="shared" si="220"/>
        <v>1.29</v>
      </c>
      <c r="BT146" s="66">
        <f aca="true" t="shared" si="273" ref="BT146:BT151">BN146*BS146</f>
        <v>5.247719999999999</v>
      </c>
      <c r="BU146" s="66">
        <f aca="true" t="shared" si="274" ref="BU146:BU151">MIN(BT146,BM146)</f>
        <v>5.095931903764111</v>
      </c>
      <c r="BV146" s="66">
        <f aca="true" t="shared" si="275" ref="BV146:BV151">MAX(0,BT146-BM146)</f>
        <v>0.1517880962358884</v>
      </c>
      <c r="BW146" s="63">
        <f aca="true" t="shared" si="276" ref="BW146:BW151">MAX(0,BM146-BT146)</f>
        <v>0</v>
      </c>
      <c r="BX146" s="67">
        <f ca="1" t="shared" si="221"/>
        <v>35.86968710129836</v>
      </c>
      <c r="BY146" s="65">
        <f aca="true" t="shared" si="277" ref="BY146:BY151">BX146/BR146-1</f>
        <v>0.03100586668025218</v>
      </c>
      <c r="BZ146" s="68">
        <f ca="1" t="shared" si="222"/>
        <v>-0.1298863651851101</v>
      </c>
      <c r="CA146" s="81">
        <f aca="true" t="shared" si="278" ref="CA146:CA151">P146</f>
        <v>4.068</v>
      </c>
      <c r="CB146" s="63">
        <f aca="true" t="shared" si="279" ref="CB146:CB151">CA146</f>
        <v>4.068</v>
      </c>
      <c r="CC146" s="67">
        <f aca="true" t="shared" si="280" ref="CC146:CC151">$CC$14</f>
        <v>35.90132553133049</v>
      </c>
      <c r="CD146" s="69">
        <f ca="1" t="shared" si="223"/>
        <v>1.29</v>
      </c>
      <c r="CE146" s="190">
        <f aca="true" t="shared" si="281" ref="CE146:CE151">CA146*CD146</f>
        <v>5.247719999999999</v>
      </c>
      <c r="CF146" s="70">
        <f aca="true" t="shared" si="282" ref="CF146:CF151">CE146</f>
        <v>5.247719999999999</v>
      </c>
      <c r="CG146" s="67">
        <f aca="true" t="shared" si="283" ref="CG146:CG151">$CG$14</f>
        <v>39.30481757441425</v>
      </c>
      <c r="CH146" s="65">
        <f aca="true" t="shared" si="284" ref="CH146:CH151">CG146/CC146-1</f>
        <v>0.09480129194989151</v>
      </c>
      <c r="CI146" s="65">
        <f ca="1" t="shared" si="224"/>
        <v>-0.0465582376331396</v>
      </c>
      <c r="CJ146" s="68">
        <f aca="true" t="shared" si="285" ref="CJ146:CJ151">CG146/BX146-1</f>
        <v>0.09576694838220523</v>
      </c>
      <c r="CL146" s="97">
        <f ca="1" t="shared" si="225"/>
        <v>1895074.8795621071</v>
      </c>
      <c r="CM146" s="97">
        <f ca="1" t="shared" si="226"/>
        <v>1672403.9828723946</v>
      </c>
      <c r="CN146" s="97">
        <f ca="1" t="shared" si="227"/>
        <v>1648930.4917021748</v>
      </c>
      <c r="CO146" s="97">
        <f aca="true" t="shared" si="286" ref="CO146:CO150">CG146*CF146*8760</f>
        <v>1806843.532986861</v>
      </c>
      <c r="CQ146" s="97">
        <f t="shared" si="228"/>
        <v>1209797.9907716305</v>
      </c>
      <c r="CR146" s="97">
        <f t="shared" si="229"/>
        <v>1267788.687938032</v>
      </c>
      <c r="CS146" s="97">
        <f t="shared" si="230"/>
        <v>1239799.6292279286</v>
      </c>
      <c r="CT146" s="97">
        <f aca="true" t="shared" si="287" ref="CT146:CT150">CB146*8760*$CC$14</f>
        <v>1279368.1482103232</v>
      </c>
      <c r="CV146" s="97">
        <f ca="1" t="shared" si="231"/>
        <v>1895074.8795621071</v>
      </c>
      <c r="CW146" s="97">
        <f aca="true" t="shared" si="288" ref="CW146:CW150">AY146*8760*AU146</f>
        <v>1672403.9828723946</v>
      </c>
      <c r="CX146" s="97">
        <f aca="true" t="shared" si="289" ref="CX146:CX150">AY146*8760*AU146</f>
        <v>1672403.9828723946</v>
      </c>
      <c r="CY146" s="97">
        <f aca="true" t="shared" si="290" ref="CY146:CY150">CG146*8760*CE146</f>
        <v>1806843.532986861</v>
      </c>
    </row>
    <row r="147" spans="2:103" ht="12.75">
      <c r="B147" s="14">
        <v>10597</v>
      </c>
      <c r="C147" s="15" t="s">
        <v>145</v>
      </c>
      <c r="D147" s="16">
        <f>RHWM!D134</f>
        <v>1</v>
      </c>
      <c r="E147" s="16">
        <f>RHWM!E134</f>
        <v>0</v>
      </c>
      <c r="F147" s="18">
        <f>RHWM!M134</f>
        <v>12.315</v>
      </c>
      <c r="G147" s="18">
        <f>RHWM!N134</f>
        <v>12.32</v>
      </c>
      <c r="H147" s="18">
        <f>RHWM!O134</f>
        <v>12.937</v>
      </c>
      <c r="I147" s="18">
        <v>0</v>
      </c>
      <c r="J147" s="18">
        <v>0</v>
      </c>
      <c r="K147" s="18">
        <v>0</v>
      </c>
      <c r="L147" s="18">
        <v>0</v>
      </c>
      <c r="M147" s="18">
        <v>0</v>
      </c>
      <c r="N147" s="18">
        <v>0</v>
      </c>
      <c r="O147" s="81">
        <f t="shared" si="232"/>
        <v>12.937</v>
      </c>
      <c r="P147" s="63">
        <f t="shared" si="233"/>
        <v>12.32</v>
      </c>
      <c r="Q147" s="63">
        <f t="shared" si="234"/>
        <v>12.32</v>
      </c>
      <c r="R147" s="63">
        <f t="shared" si="235"/>
        <v>0</v>
      </c>
      <c r="S147" s="63">
        <f t="shared" si="236"/>
        <v>0.6169999999999991</v>
      </c>
      <c r="T147" s="67">
        <f t="shared" si="211"/>
        <v>33.949064274110405</v>
      </c>
      <c r="U147" s="138">
        <f ca="1" t="shared" si="212"/>
        <v>1.23</v>
      </c>
      <c r="V147" s="66">
        <f ca="1" t="shared" si="213"/>
        <v>15.1536</v>
      </c>
      <c r="W147" s="66">
        <f ca="1" t="shared" si="237"/>
        <v>12.937</v>
      </c>
      <c r="X147" s="66">
        <f ca="1" t="shared" si="238"/>
        <v>2.2166000000000015</v>
      </c>
      <c r="Y147" s="63">
        <f ca="1" t="shared" si="239"/>
        <v>0</v>
      </c>
      <c r="Z147" s="67">
        <f ca="1" t="shared" si="192"/>
        <v>39.035591064550225</v>
      </c>
      <c r="AA147" s="68">
        <f ca="1" t="shared" si="214"/>
        <v>0.1498281881753898</v>
      </c>
      <c r="AB147" s="169">
        <f t="shared" si="240"/>
        <v>12.32</v>
      </c>
      <c r="AC147" s="169">
        <f t="shared" si="241"/>
        <v>12.32</v>
      </c>
      <c r="AD147" s="169">
        <v>0.07400000000000001</v>
      </c>
      <c r="AE147" s="171">
        <f t="shared" si="242"/>
        <v>0.037000000000000005</v>
      </c>
      <c r="AF147" s="182">
        <v>0</v>
      </c>
      <c r="AG147" s="182">
        <f t="shared" si="243"/>
        <v>0</v>
      </c>
      <c r="AH147" s="182">
        <f t="shared" si="244"/>
        <v>0</v>
      </c>
      <c r="AI147" s="182">
        <v>0</v>
      </c>
      <c r="AJ147" s="171">
        <f t="shared" si="245"/>
        <v>0</v>
      </c>
      <c r="AK147" s="171">
        <f t="shared" si="246"/>
        <v>12.357000000000001</v>
      </c>
      <c r="AL147" s="171">
        <f t="shared" si="247"/>
        <v>0.7885992401786219</v>
      </c>
      <c r="AM147" s="171">
        <f t="shared" si="248"/>
        <v>13.145599240178623</v>
      </c>
      <c r="AN147" s="81">
        <f t="shared" si="249"/>
        <v>13.145599240178623</v>
      </c>
      <c r="AO147" s="63">
        <f t="shared" si="250"/>
        <v>12.32</v>
      </c>
      <c r="AP147" s="63">
        <f t="shared" si="251"/>
        <v>12.32</v>
      </c>
      <c r="AQ147" s="63">
        <f t="shared" si="252"/>
        <v>0</v>
      </c>
      <c r="AR147" s="63">
        <f t="shared" si="253"/>
        <v>0.8255992401786223</v>
      </c>
      <c r="AS147" s="67">
        <f t="shared" si="215"/>
        <v>35.5763854636149</v>
      </c>
      <c r="AT147" s="65">
        <f ca="1" t="shared" si="216"/>
        <v>1.23</v>
      </c>
      <c r="AU147" s="66">
        <f ca="1" t="shared" si="254"/>
        <v>15.1536</v>
      </c>
      <c r="AV147" s="66">
        <f ca="1" t="shared" si="255"/>
        <v>13.145599240178623</v>
      </c>
      <c r="AW147" s="66">
        <f ca="1" t="shared" si="256"/>
        <v>2.0080007598213783</v>
      </c>
      <c r="AX147" s="63">
        <f ca="1" t="shared" si="257"/>
        <v>0</v>
      </c>
      <c r="AY147" s="67">
        <f ca="1" t="shared" si="217"/>
        <v>39.92358411462043</v>
      </c>
      <c r="AZ147" s="65">
        <f ca="1" t="shared" si="258"/>
        <v>0.12219337614979331</v>
      </c>
      <c r="BA147" s="68">
        <f ca="1" t="shared" si="218"/>
        <v>0.022748292669676706</v>
      </c>
      <c r="BB147" s="169">
        <f t="shared" si="259"/>
        <v>12.32</v>
      </c>
      <c r="BC147" s="169">
        <f t="shared" si="260"/>
        <v>12.32</v>
      </c>
      <c r="BD147" s="169">
        <v>0.07400000000000001</v>
      </c>
      <c r="BE147" s="171">
        <f t="shared" si="261"/>
        <v>0.037000000000000005</v>
      </c>
      <c r="BF147" s="182">
        <v>0</v>
      </c>
      <c r="BG147" s="182">
        <f t="shared" si="262"/>
        <v>0</v>
      </c>
      <c r="BH147" s="182">
        <f t="shared" si="263"/>
        <v>0</v>
      </c>
      <c r="BI147" s="169">
        <f t="shared" si="264"/>
        <v>0</v>
      </c>
      <c r="BJ147" s="171">
        <f t="shared" si="265"/>
        <v>12.357000000000001</v>
      </c>
      <c r="BK147" s="171">
        <f t="shared" si="266"/>
        <v>0.23708610696262333</v>
      </c>
      <c r="BL147" s="171">
        <f t="shared" si="267"/>
        <v>12.594086106962624</v>
      </c>
      <c r="BM147" s="81">
        <f t="shared" si="268"/>
        <v>12.594086106962624</v>
      </c>
      <c r="BN147" s="63">
        <f t="shared" si="219"/>
        <v>12.32</v>
      </c>
      <c r="BO147" s="63">
        <f t="shared" si="269"/>
        <v>12.32</v>
      </c>
      <c r="BP147" s="63">
        <f t="shared" si="270"/>
        <v>0</v>
      </c>
      <c r="BQ147" s="63">
        <f t="shared" si="271"/>
        <v>0.27408610696262414</v>
      </c>
      <c r="BR147" s="67">
        <f t="shared" si="272"/>
        <v>34.790963136607154</v>
      </c>
      <c r="BS147" s="69">
        <f ca="1" t="shared" si="220"/>
        <v>1.23</v>
      </c>
      <c r="BT147" s="66">
        <f ca="1" t="shared" si="273"/>
        <v>15.1536</v>
      </c>
      <c r="BU147" s="66">
        <f ca="1" t="shared" si="274"/>
        <v>12.594086106962624</v>
      </c>
      <c r="BV147" s="66">
        <f ca="1" t="shared" si="275"/>
        <v>2.5595138930373764</v>
      </c>
      <c r="BW147" s="63">
        <f ca="1" t="shared" si="276"/>
        <v>0</v>
      </c>
      <c r="BX147" s="67">
        <f ca="1" t="shared" si="221"/>
        <v>39.797807750725916</v>
      </c>
      <c r="BY147" s="65">
        <f ca="1" t="shared" si="277"/>
        <v>0.14391221635513007</v>
      </c>
      <c r="BZ147" s="68">
        <f ca="1" t="shared" si="222"/>
        <v>0.019526198153763552</v>
      </c>
      <c r="CA147" s="81">
        <f t="shared" si="278"/>
        <v>12.32</v>
      </c>
      <c r="CB147" s="63">
        <f t="shared" si="279"/>
        <v>12.32</v>
      </c>
      <c r="CC147" s="67">
        <f t="shared" si="280"/>
        <v>35.90132553133049</v>
      </c>
      <c r="CD147" s="69">
        <f ca="1" t="shared" si="223"/>
        <v>1.23</v>
      </c>
      <c r="CE147" s="190">
        <f ca="1" t="shared" si="281"/>
        <v>15.1536</v>
      </c>
      <c r="CF147" s="70">
        <f ca="1" t="shared" si="282"/>
        <v>15.1536</v>
      </c>
      <c r="CG147" s="67">
        <f ca="1" t="shared" si="283"/>
        <v>39.30481757441425</v>
      </c>
      <c r="CH147" s="65">
        <f ca="1" t="shared" si="284"/>
        <v>0.09480129194989151</v>
      </c>
      <c r="CI147" s="65">
        <f ca="1" t="shared" si="224"/>
        <v>0.006896949745652137</v>
      </c>
      <c r="CJ147" s="68">
        <f ca="1" t="shared" si="285"/>
        <v>-0.012387370163691291</v>
      </c>
      <c r="CL147" s="97">
        <f ca="1" t="shared" si="225"/>
        <v>5181800.45894053</v>
      </c>
      <c r="CM147" s="97">
        <f ca="1" t="shared" si="226"/>
        <v>5299677.572336376</v>
      </c>
      <c r="CN147" s="97">
        <f ca="1" t="shared" si="227"/>
        <v>5282981.321495065</v>
      </c>
      <c r="CO147" s="97">
        <f ca="1" t="shared" si="286"/>
        <v>5217539.07629784</v>
      </c>
      <c r="CQ147" s="97">
        <f t="shared" si="228"/>
        <v>3663891.653467672</v>
      </c>
      <c r="CR147" s="97">
        <f t="shared" si="229"/>
        <v>3839517.363666803</v>
      </c>
      <c r="CS147" s="97">
        <f t="shared" si="230"/>
        <v>3754752.072784681</v>
      </c>
      <c r="CT147" s="97">
        <f t="shared" si="287"/>
        <v>3874585.935582887</v>
      </c>
      <c r="CV147" s="97">
        <f ca="1" t="shared" si="231"/>
        <v>5181800.45894053</v>
      </c>
      <c r="CW147" s="97">
        <f ca="1" t="shared" si="288"/>
        <v>5299677.572336376</v>
      </c>
      <c r="CX147" s="97">
        <f ca="1" t="shared" si="289"/>
        <v>5299677.572336376</v>
      </c>
      <c r="CY147" s="97">
        <f ca="1" t="shared" si="290"/>
        <v>5217539.07629784</v>
      </c>
    </row>
    <row r="148" spans="2:103" ht="12.75">
      <c r="B148" s="14">
        <v>10706</v>
      </c>
      <c r="C148" s="15" t="s">
        <v>146</v>
      </c>
      <c r="D148" s="16">
        <f>RHWM!D135</f>
        <v>1</v>
      </c>
      <c r="E148" s="16">
        <f>RHWM!E135</f>
        <v>0</v>
      </c>
      <c r="F148" s="18">
        <f>RHWM!M135</f>
        <v>16.753</v>
      </c>
      <c r="G148" s="18">
        <f>RHWM!N135</f>
        <v>16.887</v>
      </c>
      <c r="H148" s="18">
        <f>RHWM!O135</f>
        <v>17.278</v>
      </c>
      <c r="I148" s="18">
        <v>0</v>
      </c>
      <c r="J148" s="18">
        <v>0</v>
      </c>
      <c r="K148" s="18">
        <v>0</v>
      </c>
      <c r="L148" s="18">
        <v>0</v>
      </c>
      <c r="M148" s="18">
        <v>0</v>
      </c>
      <c r="N148" s="18">
        <v>0</v>
      </c>
      <c r="O148" s="81">
        <f t="shared" si="232"/>
        <v>17.278</v>
      </c>
      <c r="P148" s="63">
        <f t="shared" si="233"/>
        <v>16.887</v>
      </c>
      <c r="Q148" s="63">
        <f t="shared" si="234"/>
        <v>16.887</v>
      </c>
      <c r="R148" s="63">
        <f t="shared" si="235"/>
        <v>0</v>
      </c>
      <c r="S148" s="63">
        <f t="shared" si="236"/>
        <v>0.39099999999999824</v>
      </c>
      <c r="T148" s="67">
        <f t="shared" si="211"/>
        <v>33.949064274110405</v>
      </c>
      <c r="U148" s="138">
        <f ca="1" t="shared" si="212"/>
        <v>1</v>
      </c>
      <c r="V148" s="66">
        <f ca="1" t="shared" si="213"/>
        <v>16.887</v>
      </c>
      <c r="W148" s="66">
        <f ca="1" t="shared" si="237"/>
        <v>16.887</v>
      </c>
      <c r="X148" s="66">
        <f ca="1" t="shared" si="238"/>
        <v>0</v>
      </c>
      <c r="Y148" s="63">
        <f ca="1" t="shared" si="239"/>
        <v>0.39099999999999824</v>
      </c>
      <c r="Z148" s="67">
        <f ca="1" t="shared" si="192"/>
        <v>34.90901605903751</v>
      </c>
      <c r="AA148" s="68">
        <f ca="1" t="shared" si="214"/>
        <v>0.028276236928838294</v>
      </c>
      <c r="AB148" s="169">
        <f t="shared" si="240"/>
        <v>16.887</v>
      </c>
      <c r="AC148" s="169">
        <f t="shared" si="241"/>
        <v>16.887</v>
      </c>
      <c r="AD148" s="169">
        <v>0.339</v>
      </c>
      <c r="AE148" s="171">
        <f t="shared" si="242"/>
        <v>0.1695</v>
      </c>
      <c r="AF148" s="182">
        <v>0</v>
      </c>
      <c r="AG148" s="182">
        <f t="shared" si="243"/>
        <v>0</v>
      </c>
      <c r="AH148" s="182">
        <f t="shared" si="244"/>
        <v>0</v>
      </c>
      <c r="AI148" s="182">
        <v>0</v>
      </c>
      <c r="AJ148" s="171">
        <f t="shared" si="245"/>
        <v>0</v>
      </c>
      <c r="AK148" s="171">
        <f t="shared" si="246"/>
        <v>17.0565</v>
      </c>
      <c r="AL148" s="171">
        <f t="shared" si="247"/>
        <v>1.0885120126330554</v>
      </c>
      <c r="AM148" s="171">
        <f t="shared" si="248"/>
        <v>18.145012012633057</v>
      </c>
      <c r="AN148" s="81">
        <f t="shared" si="249"/>
        <v>18.145012012633057</v>
      </c>
      <c r="AO148" s="63">
        <f t="shared" si="250"/>
        <v>16.887</v>
      </c>
      <c r="AP148" s="63">
        <f t="shared" si="251"/>
        <v>16.887</v>
      </c>
      <c r="AQ148" s="63">
        <f t="shared" si="252"/>
        <v>0</v>
      </c>
      <c r="AR148" s="63">
        <f t="shared" si="253"/>
        <v>1.2580120126330563</v>
      </c>
      <c r="AS148" s="67">
        <f t="shared" si="215"/>
        <v>35.5763854636149</v>
      </c>
      <c r="AT148" s="65">
        <f ca="1" t="shared" si="216"/>
        <v>1</v>
      </c>
      <c r="AU148" s="66">
        <f ca="1" t="shared" si="254"/>
        <v>16.887</v>
      </c>
      <c r="AV148" s="66">
        <f ca="1" t="shared" si="255"/>
        <v>16.887</v>
      </c>
      <c r="AW148" s="66">
        <f ca="1" t="shared" si="256"/>
        <v>0</v>
      </c>
      <c r="AX148" s="63">
        <f ca="1" t="shared" si="257"/>
        <v>1.2580120126330563</v>
      </c>
      <c r="AY148" s="67">
        <f ca="1" t="shared" si="217"/>
        <v>36.38031310262951</v>
      </c>
      <c r="AZ148" s="65">
        <f ca="1" t="shared" si="258"/>
        <v>0.0225972264618286</v>
      </c>
      <c r="BA148" s="68">
        <f ca="1" t="shared" si="218"/>
        <v>0.0421466202629075</v>
      </c>
      <c r="BB148" s="169">
        <f t="shared" si="259"/>
        <v>16.887</v>
      </c>
      <c r="BC148" s="169">
        <f t="shared" si="260"/>
        <v>16.887</v>
      </c>
      <c r="BD148" s="169">
        <v>0.339</v>
      </c>
      <c r="BE148" s="171">
        <f t="shared" si="261"/>
        <v>0.1695</v>
      </c>
      <c r="BF148" s="182">
        <v>0</v>
      </c>
      <c r="BG148" s="182">
        <f t="shared" si="262"/>
        <v>0</v>
      </c>
      <c r="BH148" s="182">
        <f t="shared" si="263"/>
        <v>0</v>
      </c>
      <c r="BI148" s="169">
        <f t="shared" si="264"/>
        <v>0</v>
      </c>
      <c r="BJ148" s="171">
        <f t="shared" si="265"/>
        <v>17.0565</v>
      </c>
      <c r="BK148" s="171">
        <f t="shared" si="266"/>
        <v>0.327252503310511</v>
      </c>
      <c r="BL148" s="171">
        <f t="shared" si="267"/>
        <v>17.38375250331051</v>
      </c>
      <c r="BM148" s="81">
        <f t="shared" si="268"/>
        <v>17.38375250331051</v>
      </c>
      <c r="BN148" s="63">
        <f t="shared" si="219"/>
        <v>16.887</v>
      </c>
      <c r="BO148" s="63">
        <f t="shared" si="269"/>
        <v>16.887</v>
      </c>
      <c r="BP148" s="63">
        <f t="shared" si="270"/>
        <v>0</v>
      </c>
      <c r="BQ148" s="63">
        <f t="shared" si="271"/>
        <v>0.49675250331051046</v>
      </c>
      <c r="BR148" s="67">
        <f t="shared" si="272"/>
        <v>34.790963136607154</v>
      </c>
      <c r="BS148" s="69">
        <f ca="1" t="shared" si="220"/>
        <v>1</v>
      </c>
      <c r="BT148" s="66">
        <f ca="1" t="shared" si="273"/>
        <v>16.887</v>
      </c>
      <c r="BU148" s="66">
        <f ca="1" t="shared" si="274"/>
        <v>16.887</v>
      </c>
      <c r="BV148" s="66">
        <f ca="1" t="shared" si="275"/>
        <v>0</v>
      </c>
      <c r="BW148" s="63">
        <f ca="1" t="shared" si="276"/>
        <v>0.49675250331051046</v>
      </c>
      <c r="BX148" s="67">
        <f ca="1" t="shared" si="221"/>
        <v>35.05800570624853</v>
      </c>
      <c r="BY148" s="65">
        <f ca="1" t="shared" si="277"/>
        <v>0.007675630266193778</v>
      </c>
      <c r="BZ148" s="68">
        <f ca="1" t="shared" si="222"/>
        <v>0.0042679417534727815</v>
      </c>
      <c r="CA148" s="81">
        <f t="shared" si="278"/>
        <v>16.887</v>
      </c>
      <c r="CB148" s="63">
        <f t="shared" si="279"/>
        <v>16.887</v>
      </c>
      <c r="CC148" s="67">
        <f t="shared" si="280"/>
        <v>35.90132553133049</v>
      </c>
      <c r="CD148" s="69">
        <f ca="1" t="shared" si="223"/>
        <v>1</v>
      </c>
      <c r="CE148" s="190">
        <f ca="1" t="shared" si="281"/>
        <v>16.887</v>
      </c>
      <c r="CF148" s="70">
        <f ca="1" t="shared" si="282"/>
        <v>16.887</v>
      </c>
      <c r="CG148" s="67">
        <f ca="1" t="shared" si="283"/>
        <v>39.30481757441425</v>
      </c>
      <c r="CH148" s="65">
        <f ca="1" t="shared" si="284"/>
        <v>0.09480129194989151</v>
      </c>
      <c r="CI148" s="65">
        <f ca="1" t="shared" si="224"/>
        <v>0.1259216675698518</v>
      </c>
      <c r="CJ148" s="68">
        <f ca="1" t="shared" si="285"/>
        <v>0.12113672134546993</v>
      </c>
      <c r="CL148" s="97">
        <f ca="1" t="shared" si="225"/>
        <v>5164094.934695346</v>
      </c>
      <c r="CM148" s="97">
        <f ca="1" t="shared" si="226"/>
        <v>5381744.082909556</v>
      </c>
      <c r="CN148" s="97">
        <f ca="1" t="shared" si="227"/>
        <v>5186134.99108603</v>
      </c>
      <c r="CO148" s="97">
        <f ca="1" t="shared" si="286"/>
        <v>5814366.380361209</v>
      </c>
      <c r="CQ148" s="97">
        <f t="shared" si="228"/>
        <v>5022089.151956865</v>
      </c>
      <c r="CR148" s="97">
        <f t="shared" si="229"/>
        <v>5262818.970798807</v>
      </c>
      <c r="CS148" s="97">
        <f t="shared" si="230"/>
        <v>5146631.3517138725</v>
      </c>
      <c r="CT148" s="97">
        <f t="shared" si="287"/>
        <v>5310887.394008784</v>
      </c>
      <c r="CV148" s="97">
        <f ca="1" t="shared" si="231"/>
        <v>5164094.934695346</v>
      </c>
      <c r="CW148" s="97">
        <f ca="1" t="shared" si="288"/>
        <v>5381744.082909555</v>
      </c>
      <c r="CX148" s="97">
        <f ca="1" t="shared" si="289"/>
        <v>5381744.082909555</v>
      </c>
      <c r="CY148" s="97">
        <f ca="1" t="shared" si="290"/>
        <v>5814366.380361209</v>
      </c>
    </row>
    <row r="149" spans="2:103" ht="12.75">
      <c r="B149" s="14">
        <v>11680</v>
      </c>
      <c r="C149" s="15" t="s">
        <v>147</v>
      </c>
      <c r="D149" s="16">
        <f>RHWM!D136</f>
        <v>1</v>
      </c>
      <c r="E149" s="16">
        <f>RHWM!E136</f>
        <v>0</v>
      </c>
      <c r="F149" s="18">
        <f>RHWM!M136</f>
        <v>6.535</v>
      </c>
      <c r="G149" s="18">
        <f>RHWM!N136</f>
        <v>6.546</v>
      </c>
      <c r="H149" s="18">
        <f>RHWM!O136</f>
        <v>6.329</v>
      </c>
      <c r="I149" s="18">
        <v>0.206</v>
      </c>
      <c r="J149" s="18">
        <v>0.217</v>
      </c>
      <c r="K149" s="18">
        <v>0.206</v>
      </c>
      <c r="L149" s="18">
        <v>0.217</v>
      </c>
      <c r="M149" s="18">
        <v>0</v>
      </c>
      <c r="N149" s="18">
        <v>0</v>
      </c>
      <c r="O149" s="81">
        <f t="shared" si="232"/>
        <v>6.329</v>
      </c>
      <c r="P149" s="63">
        <f t="shared" si="233"/>
        <v>6.546</v>
      </c>
      <c r="Q149" s="63">
        <f t="shared" si="234"/>
        <v>6.329</v>
      </c>
      <c r="R149" s="63">
        <f t="shared" si="235"/>
        <v>0.21700000000000053</v>
      </c>
      <c r="S149" s="63">
        <f t="shared" si="236"/>
        <v>0</v>
      </c>
      <c r="T149" s="67">
        <f t="shared" si="211"/>
        <v>34.91608123905359</v>
      </c>
      <c r="U149" s="138">
        <f ca="1" t="shared" si="212"/>
        <v>0.95</v>
      </c>
      <c r="V149" s="66">
        <f ca="1" t="shared" si="213"/>
        <v>6.2187</v>
      </c>
      <c r="W149" s="66">
        <f ca="1" t="shared" si="237"/>
        <v>6.2187</v>
      </c>
      <c r="X149" s="66">
        <f ca="1" t="shared" si="238"/>
        <v>0</v>
      </c>
      <c r="Y149" s="63">
        <f ca="1" t="shared" si="239"/>
        <v>0.11029999999999962</v>
      </c>
      <c r="Z149" s="67">
        <f ca="1" t="shared" si="192"/>
        <v>34.90901605903751</v>
      </c>
      <c r="AA149" s="68">
        <f ca="1" t="shared" si="214"/>
        <v>-0.00020234745038272273</v>
      </c>
      <c r="AB149" s="169">
        <f t="shared" si="240"/>
        <v>6.329</v>
      </c>
      <c r="AC149" s="169">
        <f t="shared" si="241"/>
        <v>6.329</v>
      </c>
      <c r="AD149" s="169">
        <v>0</v>
      </c>
      <c r="AE149" s="171">
        <f t="shared" si="242"/>
        <v>0</v>
      </c>
      <c r="AF149" s="182">
        <v>0</v>
      </c>
      <c r="AG149" s="182">
        <f t="shared" si="243"/>
        <v>0</v>
      </c>
      <c r="AH149" s="182">
        <f t="shared" si="244"/>
        <v>0</v>
      </c>
      <c r="AI149" s="182">
        <v>0</v>
      </c>
      <c r="AJ149" s="171">
        <f t="shared" si="245"/>
        <v>0.10850000000000026</v>
      </c>
      <c r="AK149" s="171">
        <f t="shared" si="246"/>
        <v>6.4375</v>
      </c>
      <c r="AL149" s="171">
        <f t="shared" si="247"/>
        <v>0.4108284865784477</v>
      </c>
      <c r="AM149" s="171">
        <f t="shared" si="248"/>
        <v>6.848328486578447</v>
      </c>
      <c r="AN149" s="81">
        <f t="shared" si="249"/>
        <v>6.848328486578447</v>
      </c>
      <c r="AO149" s="63">
        <f t="shared" si="250"/>
        <v>6.546</v>
      </c>
      <c r="AP149" s="63">
        <f t="shared" si="251"/>
        <v>6.546</v>
      </c>
      <c r="AQ149" s="63">
        <f t="shared" si="252"/>
        <v>0</v>
      </c>
      <c r="AR149" s="63">
        <f t="shared" si="253"/>
        <v>0.302328486578447</v>
      </c>
      <c r="AS149" s="67">
        <f t="shared" si="215"/>
        <v>35.5763854636149</v>
      </c>
      <c r="AT149" s="65">
        <f ca="1" t="shared" si="216"/>
        <v>0.95</v>
      </c>
      <c r="AU149" s="66">
        <f ca="1" t="shared" si="254"/>
        <v>6.2187</v>
      </c>
      <c r="AV149" s="66">
        <f ca="1" t="shared" si="255"/>
        <v>6.2187</v>
      </c>
      <c r="AW149" s="66">
        <f ca="1" t="shared" si="256"/>
        <v>0</v>
      </c>
      <c r="AX149" s="63">
        <f ca="1" t="shared" si="257"/>
        <v>0.6296284865784472</v>
      </c>
      <c r="AY149" s="67">
        <f ca="1" t="shared" si="217"/>
        <v>36.38031310262951</v>
      </c>
      <c r="AZ149" s="65">
        <f ca="1" t="shared" si="258"/>
        <v>0.0225972264618286</v>
      </c>
      <c r="BA149" s="68">
        <f ca="1" t="shared" si="218"/>
        <v>0.0421466202629075</v>
      </c>
      <c r="BB149" s="169">
        <f t="shared" si="259"/>
        <v>6.329</v>
      </c>
      <c r="BC149" s="169">
        <f t="shared" si="260"/>
        <v>6.329</v>
      </c>
      <c r="BD149" s="169">
        <v>0</v>
      </c>
      <c r="BE149" s="171">
        <f t="shared" si="261"/>
        <v>0</v>
      </c>
      <c r="BF149" s="182">
        <v>0</v>
      </c>
      <c r="BG149" s="182">
        <f t="shared" si="262"/>
        <v>0</v>
      </c>
      <c r="BH149" s="182">
        <f t="shared" si="263"/>
        <v>0</v>
      </c>
      <c r="BI149" s="169">
        <f t="shared" si="264"/>
        <v>0.05425000000000013</v>
      </c>
      <c r="BJ149" s="171">
        <f t="shared" si="265"/>
        <v>6.38325</v>
      </c>
      <c r="BK149" s="171">
        <f t="shared" si="266"/>
        <v>0.122471464940452</v>
      </c>
      <c r="BL149" s="171">
        <f t="shared" si="267"/>
        <v>6.505721464940453</v>
      </c>
      <c r="BM149" s="81">
        <f t="shared" si="268"/>
        <v>6.505721464940453</v>
      </c>
      <c r="BN149" s="63">
        <f t="shared" si="219"/>
        <v>6.546</v>
      </c>
      <c r="BO149" s="63">
        <f t="shared" si="269"/>
        <v>6.505721464940453</v>
      </c>
      <c r="BP149" s="63">
        <f t="shared" si="270"/>
        <v>0.04027853505954759</v>
      </c>
      <c r="BQ149" s="63">
        <f t="shared" si="271"/>
        <v>0</v>
      </c>
      <c r="BR149" s="67">
        <f t="shared" si="272"/>
        <v>34.96527601538891</v>
      </c>
      <c r="BS149" s="69">
        <f ca="1" t="shared" si="220"/>
        <v>0.95</v>
      </c>
      <c r="BT149" s="66">
        <f ca="1" t="shared" si="273"/>
        <v>6.2187</v>
      </c>
      <c r="BU149" s="66">
        <f ca="1" t="shared" si="274"/>
        <v>6.2187</v>
      </c>
      <c r="BV149" s="66">
        <f ca="1" t="shared" si="275"/>
        <v>0</v>
      </c>
      <c r="BW149" s="63">
        <f ca="1" t="shared" si="276"/>
        <v>0.28702146494045255</v>
      </c>
      <c r="BX149" s="67">
        <f ca="1" t="shared" si="221"/>
        <v>35.05800570624853</v>
      </c>
      <c r="BY149" s="65">
        <f ca="1" t="shared" si="277"/>
        <v>0.0026520508752398975</v>
      </c>
      <c r="BZ149" s="68">
        <f ca="1" t="shared" si="222"/>
        <v>0.0042679417534727815</v>
      </c>
      <c r="CA149" s="81">
        <f t="shared" si="278"/>
        <v>6.546</v>
      </c>
      <c r="CB149" s="63">
        <f t="shared" si="279"/>
        <v>6.546</v>
      </c>
      <c r="CC149" s="67">
        <f t="shared" si="280"/>
        <v>35.90132553133049</v>
      </c>
      <c r="CD149" s="69">
        <f ca="1" t="shared" si="223"/>
        <v>0.95</v>
      </c>
      <c r="CE149" s="190">
        <f ca="1" t="shared" si="281"/>
        <v>6.2187</v>
      </c>
      <c r="CF149" s="70">
        <f ca="1" t="shared" si="282"/>
        <v>6.2187</v>
      </c>
      <c r="CG149" s="67">
        <f ca="1" t="shared" si="283"/>
        <v>39.30481757441425</v>
      </c>
      <c r="CH149" s="65">
        <f ca="1" t="shared" si="284"/>
        <v>0.09480129194989151</v>
      </c>
      <c r="CI149" s="65">
        <f ca="1" t="shared" si="224"/>
        <v>0.1259216675698518</v>
      </c>
      <c r="CJ149" s="68">
        <f ca="1" t="shared" si="285"/>
        <v>0.12113672134546993</v>
      </c>
      <c r="CL149" s="97">
        <f ca="1" t="shared" si="225"/>
        <v>1901696.9959371083</v>
      </c>
      <c r="CM149" s="97">
        <f ca="1" t="shared" si="226"/>
        <v>1981847.0970799818</v>
      </c>
      <c r="CN149" s="97">
        <f ca="1" t="shared" si="227"/>
        <v>1909813.3279485223</v>
      </c>
      <c r="CO149" s="97">
        <f ca="1" t="shared" si="286"/>
        <v>2141161.8528780867</v>
      </c>
      <c r="CQ149" s="97">
        <f t="shared" si="228"/>
        <v>2002191.4498478004</v>
      </c>
      <c r="CR149" s="97">
        <f t="shared" si="229"/>
        <v>2040055.2485846505</v>
      </c>
      <c r="CS149" s="97">
        <f t="shared" si="230"/>
        <v>2005012.4239394057</v>
      </c>
      <c r="CT149" s="97">
        <f t="shared" si="287"/>
        <v>2058688.2738900632</v>
      </c>
      <c r="CV149" s="97">
        <f ca="1" t="shared" si="231"/>
        <v>1901696.9959371083</v>
      </c>
      <c r="CW149" s="97">
        <f ca="1" t="shared" si="288"/>
        <v>1981847.0970799816</v>
      </c>
      <c r="CX149" s="97">
        <f ca="1" t="shared" si="289"/>
        <v>1981847.0970799816</v>
      </c>
      <c r="CY149" s="97">
        <f ca="1" t="shared" si="290"/>
        <v>2141161.8528780867</v>
      </c>
    </row>
    <row r="150" spans="2:103" ht="12.75">
      <c r="B150" s="48">
        <v>12026</v>
      </c>
      <c r="C150" s="49" t="s">
        <v>148</v>
      </c>
      <c r="D150" s="16">
        <f>RHWM!D137</f>
        <v>1</v>
      </c>
      <c r="E150" s="16">
        <f>RHWM!E137</f>
        <v>0</v>
      </c>
      <c r="F150" s="18">
        <f>RHWM!M137</f>
        <v>45.775</v>
      </c>
      <c r="G150" s="18">
        <f>RHWM!N137</f>
        <v>46.112</v>
      </c>
      <c r="H150" s="18">
        <f>RHWM!O137</f>
        <v>45.173</v>
      </c>
      <c r="I150" s="18">
        <v>0.602</v>
      </c>
      <c r="J150" s="18">
        <v>0.939</v>
      </c>
      <c r="K150" s="18">
        <v>0.602</v>
      </c>
      <c r="L150" s="18">
        <v>0.939</v>
      </c>
      <c r="M150" s="18">
        <v>0</v>
      </c>
      <c r="N150" s="18">
        <v>0</v>
      </c>
      <c r="O150" s="81">
        <f t="shared" si="232"/>
        <v>45.173</v>
      </c>
      <c r="P150" s="63">
        <f t="shared" si="233"/>
        <v>46.112</v>
      </c>
      <c r="Q150" s="63">
        <f t="shared" si="234"/>
        <v>45.173</v>
      </c>
      <c r="R150" s="63">
        <f t="shared" si="235"/>
        <v>0.9390000000000001</v>
      </c>
      <c r="S150" s="63">
        <f t="shared" si="236"/>
        <v>0</v>
      </c>
      <c r="T150" s="67">
        <f t="shared" si="211"/>
        <v>34.54308554073537</v>
      </c>
      <c r="U150" s="138">
        <f ca="1" t="shared" si="212"/>
        <v>1.36</v>
      </c>
      <c r="V150" s="66">
        <f ca="1" t="shared" si="213"/>
        <v>62.712320000000005</v>
      </c>
      <c r="W150" s="66">
        <f ca="1" t="shared" si="237"/>
        <v>45.173</v>
      </c>
      <c r="X150" s="66">
        <f ca="1" t="shared" si="238"/>
        <v>17.539320000000004</v>
      </c>
      <c r="Y150" s="63">
        <f ca="1" t="shared" si="239"/>
        <v>0</v>
      </c>
      <c r="Z150" s="67">
        <f ca="1" t="shared" si="192"/>
        <v>42.79903631112518</v>
      </c>
      <c r="AA150" s="68">
        <f ca="1" t="shared" si="214"/>
        <v>0.23900443869305987</v>
      </c>
      <c r="AB150" s="169">
        <f t="shared" si="240"/>
        <v>45.173</v>
      </c>
      <c r="AC150" s="169">
        <f t="shared" si="241"/>
        <v>45.173</v>
      </c>
      <c r="AD150" s="169">
        <v>0.3705</v>
      </c>
      <c r="AE150" s="171">
        <f t="shared" si="242"/>
        <v>0.18525</v>
      </c>
      <c r="AF150" s="182">
        <v>0</v>
      </c>
      <c r="AG150" s="182">
        <f t="shared" si="243"/>
        <v>0</v>
      </c>
      <c r="AH150" s="182">
        <f t="shared" si="244"/>
        <v>0</v>
      </c>
      <c r="AI150" s="182">
        <v>0</v>
      </c>
      <c r="AJ150" s="171">
        <f t="shared" si="245"/>
        <v>0.46950000000000003</v>
      </c>
      <c r="AK150" s="171">
        <f t="shared" si="246"/>
        <v>45.82775000000001</v>
      </c>
      <c r="AL150" s="171">
        <f t="shared" si="247"/>
        <v>2.924636143812887</v>
      </c>
      <c r="AM150" s="171">
        <f t="shared" si="248"/>
        <v>48.7523861438129</v>
      </c>
      <c r="AN150" s="81">
        <f t="shared" si="249"/>
        <v>48.7523861438129</v>
      </c>
      <c r="AO150" s="63">
        <f t="shared" si="250"/>
        <v>46.112</v>
      </c>
      <c r="AP150" s="63">
        <f t="shared" si="251"/>
        <v>46.112</v>
      </c>
      <c r="AQ150" s="63">
        <f t="shared" si="252"/>
        <v>0</v>
      </c>
      <c r="AR150" s="63">
        <f t="shared" si="253"/>
        <v>2.640386143812897</v>
      </c>
      <c r="AS150" s="67">
        <f t="shared" si="215"/>
        <v>35.5763854636149</v>
      </c>
      <c r="AT150" s="65">
        <f ca="1" t="shared" si="216"/>
        <v>1.36</v>
      </c>
      <c r="AU150" s="66">
        <f ca="1" t="shared" si="254"/>
        <v>62.712320000000005</v>
      </c>
      <c r="AV150" s="66">
        <f ca="1" t="shared" si="255"/>
        <v>48.7523861438129</v>
      </c>
      <c r="AW150" s="66">
        <f ca="1" t="shared" si="256"/>
        <v>13.959933856187106</v>
      </c>
      <c r="AX150" s="63">
        <f ca="1" t="shared" si="257"/>
        <v>0</v>
      </c>
      <c r="AY150" s="67">
        <f ca="1" t="shared" si="217"/>
        <v>42.33264049894406</v>
      </c>
      <c r="AZ150" s="65">
        <f ca="1" t="shared" si="258"/>
        <v>0.18990841670070724</v>
      </c>
      <c r="BA150" s="68">
        <f ca="1" t="shared" si="218"/>
        <v>-0.010897343781076763</v>
      </c>
      <c r="BB150" s="169">
        <f t="shared" si="259"/>
        <v>45.173</v>
      </c>
      <c r="BC150" s="169">
        <f t="shared" si="260"/>
        <v>45.173</v>
      </c>
      <c r="BD150" s="169">
        <v>0.3705</v>
      </c>
      <c r="BE150" s="171">
        <f t="shared" si="261"/>
        <v>0.18525</v>
      </c>
      <c r="BF150" s="182">
        <v>0</v>
      </c>
      <c r="BG150" s="182">
        <f t="shared" si="262"/>
        <v>0</v>
      </c>
      <c r="BH150" s="182">
        <f t="shared" si="263"/>
        <v>0</v>
      </c>
      <c r="BI150" s="169">
        <f t="shared" si="264"/>
        <v>0.23475000000000001</v>
      </c>
      <c r="BJ150" s="171">
        <f t="shared" si="265"/>
        <v>45.593</v>
      </c>
      <c r="BK150" s="171">
        <f t="shared" si="266"/>
        <v>0.8747646576634204</v>
      </c>
      <c r="BL150" s="171">
        <f t="shared" si="267"/>
        <v>46.46776465766342</v>
      </c>
      <c r="BM150" s="81">
        <f t="shared" si="268"/>
        <v>46.46776465766342</v>
      </c>
      <c r="BN150" s="63">
        <f t="shared" si="219"/>
        <v>46.112</v>
      </c>
      <c r="BO150" s="63">
        <f t="shared" si="269"/>
        <v>46.112</v>
      </c>
      <c r="BP150" s="63">
        <f t="shared" si="270"/>
        <v>0</v>
      </c>
      <c r="BQ150" s="63">
        <f t="shared" si="271"/>
        <v>0.35576465766342125</v>
      </c>
      <c r="BR150" s="67">
        <f t="shared" si="272"/>
        <v>34.790963136607154</v>
      </c>
      <c r="BS150" s="69">
        <f ca="1" t="shared" si="220"/>
        <v>1.36</v>
      </c>
      <c r="BT150" s="66">
        <f ca="1" t="shared" si="273"/>
        <v>62.712320000000005</v>
      </c>
      <c r="BU150" s="66">
        <f ca="1" t="shared" si="274"/>
        <v>46.46776465766342</v>
      </c>
      <c r="BV150" s="66">
        <f ca="1" t="shared" si="275"/>
        <v>16.244555342336582</v>
      </c>
      <c r="BW150" s="63">
        <f ca="1" t="shared" si="276"/>
        <v>0</v>
      </c>
      <c r="BX150" s="67">
        <f ca="1" t="shared" si="221"/>
        <v>42.326986016994155</v>
      </c>
      <c r="BY150" s="65">
        <f ca="1" t="shared" si="277"/>
        <v>0.2166086305457171</v>
      </c>
      <c r="BZ150" s="68">
        <f ca="1" t="shared" si="222"/>
        <v>-0.011029460820086712</v>
      </c>
      <c r="CA150" s="81">
        <f t="shared" si="278"/>
        <v>46.112</v>
      </c>
      <c r="CB150" s="63">
        <f t="shared" si="279"/>
        <v>46.112</v>
      </c>
      <c r="CC150" s="67">
        <f t="shared" si="280"/>
        <v>35.90132553133049</v>
      </c>
      <c r="CD150" s="69">
        <f ca="1" t="shared" si="223"/>
        <v>1.36</v>
      </c>
      <c r="CE150" s="190">
        <f ca="1" t="shared" si="281"/>
        <v>62.712320000000005</v>
      </c>
      <c r="CF150" s="70">
        <f ca="1" t="shared" si="282"/>
        <v>62.712320000000005</v>
      </c>
      <c r="CG150" s="67">
        <f ca="1" t="shared" si="283"/>
        <v>39.30481757441425</v>
      </c>
      <c r="CH150" s="65">
        <f ca="1" t="shared" si="284"/>
        <v>0.09480129194989151</v>
      </c>
      <c r="CI150" s="65">
        <f ca="1" t="shared" si="224"/>
        <v>-0.08164246295897648</v>
      </c>
      <c r="CJ150" s="68">
        <f ca="1" t="shared" si="285"/>
        <v>-0.07140051128059322</v>
      </c>
      <c r="CL150" s="97">
        <f ca="1" t="shared" si="225"/>
        <v>23512075.300913744</v>
      </c>
      <c r="CM150" s="97">
        <f ca="1" t="shared" si="226"/>
        <v>23255856.13335312</v>
      </c>
      <c r="CN150" s="97">
        <f ca="1" t="shared" si="227"/>
        <v>23252749.78758338</v>
      </c>
      <c r="CO150" s="97">
        <f ca="1" t="shared" si="286"/>
        <v>21592491.564070225</v>
      </c>
      <c r="CQ150" s="97">
        <f t="shared" si="228"/>
        <v>13953372.661580453</v>
      </c>
      <c r="CR150" s="97">
        <f t="shared" si="229"/>
        <v>14370764.989724321</v>
      </c>
      <c r="CS150" s="97">
        <f t="shared" si="230"/>
        <v>14053500.615279807</v>
      </c>
      <c r="CT150" s="97">
        <f t="shared" si="287"/>
        <v>14502021.644610234</v>
      </c>
      <c r="CV150" s="97">
        <f ca="1" t="shared" si="231"/>
        <v>23512075.30091374</v>
      </c>
      <c r="CW150" s="97">
        <f ca="1" t="shared" si="288"/>
        <v>23255856.13335312</v>
      </c>
      <c r="CX150" s="97">
        <f ca="1" t="shared" si="289"/>
        <v>23255856.13335312</v>
      </c>
      <c r="CY150" s="97">
        <f ca="1" t="shared" si="290"/>
        <v>21592491.564070225</v>
      </c>
    </row>
    <row r="151" spans="2:88" ht="13.5" thickBot="1">
      <c r="B151" s="48">
        <v>10298</v>
      </c>
      <c r="C151" s="49" t="s">
        <v>149</v>
      </c>
      <c r="D151" s="16">
        <f>RHWM!D138</f>
        <v>1</v>
      </c>
      <c r="E151" s="16">
        <f>RHWM!E138</f>
        <v>0</v>
      </c>
      <c r="F151" s="18">
        <f>RHWM!M138</f>
        <v>665.2160000000001</v>
      </c>
      <c r="G151" s="18">
        <f>RHWM!N138</f>
        <v>671.8930000000001</v>
      </c>
      <c r="H151" s="18">
        <f>RHWM!O138</f>
        <v>602.2760000000001</v>
      </c>
      <c r="I151" s="18">
        <v>67.096</v>
      </c>
      <c r="J151" s="18">
        <v>73.69</v>
      </c>
      <c r="K151" s="18">
        <v>0</v>
      </c>
      <c r="L151" s="18">
        <v>0</v>
      </c>
      <c r="M151" s="18">
        <v>67.096</v>
      </c>
      <c r="N151" s="18">
        <v>73.69</v>
      </c>
      <c r="O151" s="82">
        <f t="shared" si="232"/>
        <v>602.2760000000001</v>
      </c>
      <c r="P151" s="64">
        <f t="shared" si="233"/>
        <v>671.8930000000001</v>
      </c>
      <c r="Q151" s="64">
        <f t="shared" si="234"/>
        <v>602.2760000000001</v>
      </c>
      <c r="R151" s="64">
        <f t="shared" si="235"/>
        <v>69.61700000000008</v>
      </c>
      <c r="S151" s="64">
        <f t="shared" si="236"/>
        <v>0</v>
      </c>
      <c r="T151" s="73">
        <f t="shared" si="211"/>
        <v>36.971558975542415</v>
      </c>
      <c r="U151" s="139">
        <f ca="1" t="shared" si="212"/>
        <v>0.98</v>
      </c>
      <c r="V151" s="72">
        <f ca="1" t="shared" si="213"/>
        <v>658.4551400000001</v>
      </c>
      <c r="W151" s="72">
        <f ca="1" t="shared" si="237"/>
        <v>602.2760000000001</v>
      </c>
      <c r="X151" s="72">
        <f ca="1" t="shared" si="238"/>
        <v>56.179140000000075</v>
      </c>
      <c r="Y151" s="64">
        <f ca="1" t="shared" si="239"/>
        <v>0</v>
      </c>
      <c r="Z151" s="67">
        <f ca="1" t="shared" si="192"/>
        <v>37.315966388800426</v>
      </c>
      <c r="AA151" s="74">
        <f ca="1" t="shared" si="214"/>
        <v>0.009315469047054492</v>
      </c>
      <c r="AB151" s="169">
        <f t="shared" si="240"/>
        <v>602.2760000000001</v>
      </c>
      <c r="AC151" s="169">
        <f t="shared" si="241"/>
        <v>602.2760000000001</v>
      </c>
      <c r="AD151" s="169">
        <v>0</v>
      </c>
      <c r="AE151" s="171">
        <f t="shared" si="242"/>
        <v>0</v>
      </c>
      <c r="AF151" s="182">
        <v>0</v>
      </c>
      <c r="AG151" s="182">
        <f t="shared" si="243"/>
        <v>0</v>
      </c>
      <c r="AH151" s="182">
        <f t="shared" si="244"/>
        <v>0</v>
      </c>
      <c r="AI151" s="182">
        <v>0</v>
      </c>
      <c r="AJ151" s="171">
        <f t="shared" si="245"/>
        <v>34.80850000000004</v>
      </c>
      <c r="AK151" s="171">
        <f t="shared" si="246"/>
        <v>637.0845000000002</v>
      </c>
      <c r="AL151" s="171">
        <f t="shared" si="247"/>
        <v>40.65746966331451</v>
      </c>
      <c r="AM151" s="171">
        <f t="shared" si="248"/>
        <v>677.7419696633146</v>
      </c>
      <c r="AN151" s="81">
        <f t="shared" si="249"/>
        <v>677.7419696633146</v>
      </c>
      <c r="AO151" s="63">
        <f t="shared" si="250"/>
        <v>671.8930000000001</v>
      </c>
      <c r="AP151" s="64">
        <f t="shared" si="251"/>
        <v>671.8930000000001</v>
      </c>
      <c r="AQ151" s="64">
        <f t="shared" si="252"/>
        <v>0</v>
      </c>
      <c r="AR151" s="64">
        <f t="shared" si="253"/>
        <v>5.848969663314506</v>
      </c>
      <c r="AS151" s="67">
        <f t="shared" si="215"/>
        <v>35.5763854636149</v>
      </c>
      <c r="AT151" s="65">
        <f ca="1" t="shared" si="216"/>
        <v>0.98</v>
      </c>
      <c r="AU151" s="66">
        <f ca="1" t="shared" si="254"/>
        <v>658.4551400000001</v>
      </c>
      <c r="AV151" s="72">
        <f ca="1" t="shared" si="255"/>
        <v>658.4551400000001</v>
      </c>
      <c r="AW151" s="72">
        <f ca="1" t="shared" si="256"/>
        <v>0</v>
      </c>
      <c r="AX151" s="64">
        <f ca="1" t="shared" si="257"/>
        <v>19.286829663314506</v>
      </c>
      <c r="AY151" s="67">
        <f ca="1" t="shared" si="217"/>
        <v>36.38031310262951</v>
      </c>
      <c r="AZ151" s="71">
        <f ca="1" t="shared" si="258"/>
        <v>0.0225972264618286</v>
      </c>
      <c r="BA151" s="74">
        <f ca="1" t="shared" si="218"/>
        <v>-0.02507380557754324</v>
      </c>
      <c r="BB151" s="169">
        <f t="shared" si="259"/>
        <v>602.2760000000001</v>
      </c>
      <c r="BC151" s="169">
        <f t="shared" si="260"/>
        <v>602.2760000000001</v>
      </c>
      <c r="BD151" s="169">
        <v>0</v>
      </c>
      <c r="BE151" s="171">
        <f t="shared" si="261"/>
        <v>0</v>
      </c>
      <c r="BF151" s="182">
        <v>0</v>
      </c>
      <c r="BG151" s="182">
        <f t="shared" si="262"/>
        <v>0</v>
      </c>
      <c r="BH151" s="182">
        <f t="shared" si="263"/>
        <v>0</v>
      </c>
      <c r="BI151" s="169">
        <f t="shared" si="264"/>
        <v>17.40425000000002</v>
      </c>
      <c r="BJ151" s="171">
        <f t="shared" si="265"/>
        <v>619.6802500000001</v>
      </c>
      <c r="BK151" s="171">
        <f t="shared" si="266"/>
        <v>11.889421221504021</v>
      </c>
      <c r="BL151" s="171">
        <f t="shared" si="267"/>
        <v>631.5696712215041</v>
      </c>
      <c r="BM151" s="81">
        <f t="shared" si="268"/>
        <v>631.5696712215041</v>
      </c>
      <c r="BN151" s="64">
        <f t="shared" si="219"/>
        <v>671.8930000000001</v>
      </c>
      <c r="BO151" s="64">
        <f t="shared" si="269"/>
        <v>631.5696712215041</v>
      </c>
      <c r="BP151" s="64">
        <f t="shared" si="270"/>
        <v>40.323328778496034</v>
      </c>
      <c r="BQ151" s="64">
        <f t="shared" si="271"/>
        <v>0</v>
      </c>
      <c r="BR151" s="67">
        <f t="shared" si="272"/>
        <v>36.491116386336984</v>
      </c>
      <c r="BS151" s="75">
        <f ca="1" t="shared" si="220"/>
        <v>0.98</v>
      </c>
      <c r="BT151" s="66">
        <f ca="1" t="shared" si="273"/>
        <v>658.4551400000001</v>
      </c>
      <c r="BU151" s="72">
        <f ca="1" t="shared" si="274"/>
        <v>631.5696712215041</v>
      </c>
      <c r="BV151" s="72">
        <f ca="1" t="shared" si="275"/>
        <v>26.885468778496033</v>
      </c>
      <c r="BW151" s="64">
        <f ca="1" t="shared" si="276"/>
        <v>0</v>
      </c>
      <c r="BX151" s="73">
        <f ca="1" t="shared" si="221"/>
        <v>36.20380870119058</v>
      </c>
      <c r="BY151" s="71">
        <f ca="1" t="shared" si="277"/>
        <v>-0.007873359699512417</v>
      </c>
      <c r="BZ151" s="74">
        <f ca="1" t="shared" si="222"/>
        <v>-0.029803802373014054</v>
      </c>
      <c r="CA151" s="81">
        <f t="shared" si="278"/>
        <v>671.8930000000001</v>
      </c>
      <c r="CB151" s="64">
        <f t="shared" si="279"/>
        <v>671.8930000000001</v>
      </c>
      <c r="CC151" s="73">
        <f t="shared" si="280"/>
        <v>35.90132553133049</v>
      </c>
      <c r="CD151" s="75">
        <f ca="1" t="shared" si="223"/>
        <v>0.98</v>
      </c>
      <c r="CE151" s="190">
        <f ca="1" t="shared" si="281"/>
        <v>658.4551400000001</v>
      </c>
      <c r="CF151" s="76">
        <f ca="1" t="shared" si="282"/>
        <v>658.4551400000001</v>
      </c>
      <c r="CG151" s="73">
        <f ca="1" t="shared" si="283"/>
        <v>39.30481757441425</v>
      </c>
      <c r="CH151" s="71">
        <f ca="1" t="shared" si="284"/>
        <v>0.09480129194989151</v>
      </c>
      <c r="CI151" s="71">
        <f ca="1" t="shared" si="224"/>
        <v>0.05329759290947189</v>
      </c>
      <c r="CJ151" s="74">
        <f ca="1" t="shared" si="285"/>
        <v>0.08565421662726025</v>
      </c>
    </row>
    <row r="152" spans="2:78" ht="17.25" customHeight="1">
      <c r="B152" s="59"/>
      <c r="C152" s="49"/>
      <c r="D152" s="16"/>
      <c r="E152" s="16"/>
      <c r="F152" s="17"/>
      <c r="G152" s="17"/>
      <c r="H152" s="17"/>
      <c r="I152" s="17"/>
      <c r="J152" s="17"/>
      <c r="K152" s="17"/>
      <c r="L152" s="17"/>
      <c r="M152" s="17"/>
      <c r="N152" s="17"/>
      <c r="O152" s="55"/>
      <c r="P152" s="55"/>
      <c r="Q152" s="63"/>
      <c r="R152" s="55"/>
      <c r="S152" s="55"/>
      <c r="T152" s="55"/>
      <c r="U152" s="58"/>
      <c r="V152" s="18"/>
      <c r="W152" s="66"/>
      <c r="X152" s="18"/>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17"/>
      <c r="BN152" s="17"/>
      <c r="BO152" s="17"/>
      <c r="BP152" s="17"/>
      <c r="BQ152" s="17"/>
      <c r="BR152" s="17"/>
      <c r="BS152" s="17"/>
      <c r="BT152" s="17"/>
      <c r="BU152" s="17"/>
      <c r="BV152" s="17"/>
      <c r="BW152" s="17"/>
      <c r="BX152" s="17"/>
      <c r="BY152" s="17"/>
      <c r="BZ152" s="17"/>
    </row>
    <row r="153" spans="2:76" ht="12.75">
      <c r="B153" s="14" t="s">
        <v>150</v>
      </c>
      <c r="C153" s="15" t="s">
        <v>150</v>
      </c>
      <c r="D153" s="16" t="s">
        <v>150</v>
      </c>
      <c r="E153" s="16" t="s">
        <v>150</v>
      </c>
      <c r="F153" s="19"/>
      <c r="G153" s="19"/>
      <c r="H153" s="17"/>
      <c r="I153" s="18"/>
      <c r="J153" s="18"/>
      <c r="K153" s="19"/>
      <c r="L153" s="19"/>
      <c r="M153" s="20"/>
      <c r="N153" s="20"/>
      <c r="O153" s="55"/>
      <c r="P153" s="55"/>
      <c r="Q153" s="63"/>
      <c r="R153" s="55"/>
      <c r="S153" s="55"/>
      <c r="T153" s="55"/>
      <c r="U153" s="58"/>
      <c r="V153" s="18"/>
      <c r="W153" s="66"/>
      <c r="X153" s="18"/>
      <c r="Y153" s="18"/>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17"/>
      <c r="BN153" s="17"/>
      <c r="BO153" s="17"/>
      <c r="BP153" s="17"/>
      <c r="BQ153" s="17"/>
      <c r="BR153" s="17"/>
      <c r="BS153" s="17"/>
      <c r="BT153" s="17"/>
      <c r="BU153" s="17"/>
      <c r="BV153" s="17"/>
      <c r="BW153" s="17"/>
      <c r="BX153" s="17"/>
    </row>
    <row r="154" spans="2:76" ht="12.75">
      <c r="B154" s="14" t="s">
        <v>150</v>
      </c>
      <c r="C154" s="15" t="s">
        <v>150</v>
      </c>
      <c r="D154" s="16" t="s">
        <v>150</v>
      </c>
      <c r="E154" s="16" t="s">
        <v>150</v>
      </c>
      <c r="F154" s="19" t="s">
        <v>150</v>
      </c>
      <c r="G154" s="19" t="s">
        <v>150</v>
      </c>
      <c r="H154" s="17" t="s">
        <v>150</v>
      </c>
      <c r="I154" s="18" t="s">
        <v>150</v>
      </c>
      <c r="J154" s="18" t="s">
        <v>150</v>
      </c>
      <c r="K154" s="19" t="s">
        <v>150</v>
      </c>
      <c r="L154" s="19" t="s">
        <v>150</v>
      </c>
      <c r="M154" s="20"/>
      <c r="N154" s="20"/>
      <c r="O154" s="55"/>
      <c r="P154" s="55"/>
      <c r="Q154" s="63"/>
      <c r="R154" s="55"/>
      <c r="S154" s="55"/>
      <c r="T154" s="55"/>
      <c r="U154" s="58"/>
      <c r="V154" s="18"/>
      <c r="W154" s="66"/>
      <c r="X154" s="18"/>
      <c r="Y154" s="18"/>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17"/>
      <c r="BN154" s="17"/>
      <c r="BO154" s="17"/>
      <c r="BP154" s="17"/>
      <c r="BQ154" s="17"/>
      <c r="BR154" s="17"/>
      <c r="BS154" s="17"/>
      <c r="BT154" s="17"/>
      <c r="BU154" s="17"/>
      <c r="BV154" s="17"/>
      <c r="BW154" s="17"/>
      <c r="BX154" s="17"/>
    </row>
    <row r="155" spans="2:76" ht="12.75">
      <c r="B155" s="14" t="s">
        <v>150</v>
      </c>
      <c r="C155" s="15" t="s">
        <v>150</v>
      </c>
      <c r="D155" s="16" t="s">
        <v>150</v>
      </c>
      <c r="E155" s="16" t="s">
        <v>150</v>
      </c>
      <c r="F155" s="19" t="s">
        <v>150</v>
      </c>
      <c r="G155" s="19" t="s">
        <v>150</v>
      </c>
      <c r="H155" s="17" t="s">
        <v>150</v>
      </c>
      <c r="I155" s="18" t="s">
        <v>150</v>
      </c>
      <c r="J155" s="18" t="s">
        <v>150</v>
      </c>
      <c r="K155" s="19" t="s">
        <v>150</v>
      </c>
      <c r="L155" s="19" t="s">
        <v>150</v>
      </c>
      <c r="M155" s="20"/>
      <c r="N155" s="20"/>
      <c r="O155" s="55"/>
      <c r="P155" s="55"/>
      <c r="Q155" s="63"/>
      <c r="R155" s="55"/>
      <c r="S155" s="55"/>
      <c r="T155" s="55"/>
      <c r="U155" s="58"/>
      <c r="V155" s="18"/>
      <c r="W155" s="66"/>
      <c r="X155" s="18"/>
      <c r="Y155" s="18"/>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17"/>
      <c r="BN155" s="17"/>
      <c r="BO155" s="17"/>
      <c r="BP155" s="17"/>
      <c r="BQ155" s="17"/>
      <c r="BR155" s="17"/>
      <c r="BS155" s="17"/>
      <c r="BT155" s="17"/>
      <c r="BU155" s="17"/>
      <c r="BV155" s="17"/>
      <c r="BW155" s="17"/>
      <c r="BX155" s="17"/>
    </row>
    <row r="156" spans="2:76" ht="12.75">
      <c r="B156" s="14" t="s">
        <v>150</v>
      </c>
      <c r="C156" s="15" t="s">
        <v>150</v>
      </c>
      <c r="D156" s="16" t="s">
        <v>150</v>
      </c>
      <c r="E156" s="16" t="s">
        <v>150</v>
      </c>
      <c r="F156" s="19" t="s">
        <v>150</v>
      </c>
      <c r="G156" s="19" t="s">
        <v>150</v>
      </c>
      <c r="H156" s="17" t="s">
        <v>150</v>
      </c>
      <c r="I156" s="18" t="s">
        <v>150</v>
      </c>
      <c r="J156" s="18" t="s">
        <v>150</v>
      </c>
      <c r="K156" s="19" t="s">
        <v>150</v>
      </c>
      <c r="L156" s="19" t="s">
        <v>150</v>
      </c>
      <c r="M156" s="20"/>
      <c r="N156" s="20"/>
      <c r="O156" s="55"/>
      <c r="P156" s="55"/>
      <c r="Q156" s="63"/>
      <c r="R156" s="55"/>
      <c r="S156" s="55"/>
      <c r="T156" s="55"/>
      <c r="U156" s="58"/>
      <c r="V156" s="18"/>
      <c r="W156" s="66"/>
      <c r="X156" s="18"/>
      <c r="Y156" s="18"/>
      <c r="Z156" s="18"/>
      <c r="AA156" s="18"/>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17"/>
      <c r="BN156" s="17"/>
      <c r="BO156" s="17"/>
      <c r="BP156" s="17"/>
      <c r="BQ156" s="17"/>
      <c r="BR156" s="17"/>
      <c r="BS156" s="17"/>
      <c r="BT156" s="17"/>
      <c r="BU156" s="17"/>
      <c r="BV156" s="17"/>
      <c r="BW156" s="17"/>
      <c r="BX156" s="17"/>
    </row>
    <row r="157" spans="2:76" ht="12.75">
      <c r="B157" s="14" t="s">
        <v>150</v>
      </c>
      <c r="C157" s="15" t="s">
        <v>150</v>
      </c>
      <c r="D157" s="16" t="s">
        <v>150</v>
      </c>
      <c r="E157" s="16" t="s">
        <v>150</v>
      </c>
      <c r="F157" s="19" t="s">
        <v>150</v>
      </c>
      <c r="G157" s="19" t="s">
        <v>150</v>
      </c>
      <c r="H157" s="17" t="s">
        <v>150</v>
      </c>
      <c r="I157" s="18" t="s">
        <v>150</v>
      </c>
      <c r="J157" s="18" t="s">
        <v>150</v>
      </c>
      <c r="K157" s="19" t="s">
        <v>150</v>
      </c>
      <c r="L157" s="19" t="s">
        <v>150</v>
      </c>
      <c r="M157" s="20"/>
      <c r="N157" s="20"/>
      <c r="O157" s="55"/>
      <c r="P157" s="55"/>
      <c r="Q157" s="63"/>
      <c r="R157" s="55"/>
      <c r="S157" s="55"/>
      <c r="T157" s="55"/>
      <c r="U157" s="58"/>
      <c r="V157" s="18"/>
      <c r="W157" s="66"/>
      <c r="X157" s="18"/>
      <c r="Y157" s="18"/>
      <c r="Z157" s="18"/>
      <c r="AA157" s="18"/>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17"/>
      <c r="BN157" s="17"/>
      <c r="BO157" s="17"/>
      <c r="BP157" s="17"/>
      <c r="BQ157" s="17"/>
      <c r="BR157" s="17"/>
      <c r="BS157" s="17"/>
      <c r="BT157" s="17"/>
      <c r="BU157" s="17"/>
      <c r="BV157" s="17"/>
      <c r="BW157" s="17"/>
      <c r="BX157" s="17"/>
    </row>
    <row r="158" spans="2:76" ht="12.75">
      <c r="B158" s="14" t="s">
        <v>150</v>
      </c>
      <c r="C158" s="15" t="s">
        <v>150</v>
      </c>
      <c r="D158" s="16" t="s">
        <v>150</v>
      </c>
      <c r="E158" s="16" t="s">
        <v>150</v>
      </c>
      <c r="F158" s="19" t="s">
        <v>150</v>
      </c>
      <c r="G158" s="19" t="s">
        <v>150</v>
      </c>
      <c r="H158" s="17" t="s">
        <v>150</v>
      </c>
      <c r="I158" s="18" t="s">
        <v>150</v>
      </c>
      <c r="J158" s="18" t="s">
        <v>150</v>
      </c>
      <c r="K158" s="19" t="s">
        <v>150</v>
      </c>
      <c r="L158" s="19" t="s">
        <v>150</v>
      </c>
      <c r="M158" s="20"/>
      <c r="N158" s="20"/>
      <c r="O158" s="55"/>
      <c r="P158" s="55"/>
      <c r="Q158" s="63"/>
      <c r="R158" s="55"/>
      <c r="S158" s="55"/>
      <c r="T158" s="55"/>
      <c r="U158" s="58"/>
      <c r="V158" s="18"/>
      <c r="W158" s="66"/>
      <c r="X158" s="18"/>
      <c r="Y158" s="18"/>
      <c r="Z158" s="18"/>
      <c r="AA158" s="18"/>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17"/>
      <c r="BN158" s="17"/>
      <c r="BO158" s="17"/>
      <c r="BP158" s="17"/>
      <c r="BQ158" s="17"/>
      <c r="BR158" s="17"/>
      <c r="BS158" s="17"/>
      <c r="BT158" s="17"/>
      <c r="BU158" s="17"/>
      <c r="BV158" s="17"/>
      <c r="BW158" s="17"/>
      <c r="BX158" s="17"/>
    </row>
    <row r="159" spans="2:76" ht="12.75">
      <c r="B159" s="14" t="s">
        <v>150</v>
      </c>
      <c r="C159" s="15" t="s">
        <v>150</v>
      </c>
      <c r="D159" s="16" t="s">
        <v>150</v>
      </c>
      <c r="E159" s="16" t="s">
        <v>150</v>
      </c>
      <c r="F159" s="19" t="s">
        <v>150</v>
      </c>
      <c r="G159" s="19" t="s">
        <v>150</v>
      </c>
      <c r="H159" s="17" t="s">
        <v>150</v>
      </c>
      <c r="I159" s="18" t="s">
        <v>150</v>
      </c>
      <c r="J159" s="18" t="s">
        <v>150</v>
      </c>
      <c r="K159" s="19" t="s">
        <v>150</v>
      </c>
      <c r="L159" s="19" t="s">
        <v>150</v>
      </c>
      <c r="M159" s="20"/>
      <c r="N159" s="20"/>
      <c r="O159" s="55"/>
      <c r="P159" s="55"/>
      <c r="Q159" s="63"/>
      <c r="R159" s="55"/>
      <c r="S159" s="55"/>
      <c r="T159" s="55"/>
      <c r="U159" s="58"/>
      <c r="V159" s="18"/>
      <c r="W159" s="66"/>
      <c r="X159" s="18"/>
      <c r="Y159" s="18"/>
      <c r="Z159" s="18"/>
      <c r="AA159" s="18"/>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17"/>
      <c r="BN159" s="17"/>
      <c r="BO159" s="17"/>
      <c r="BP159" s="17"/>
      <c r="BQ159" s="17"/>
      <c r="BR159" s="17"/>
      <c r="BS159" s="17"/>
      <c r="BT159" s="17"/>
      <c r="BU159" s="17"/>
      <c r="BV159" s="17"/>
      <c r="BW159" s="17"/>
      <c r="BX159" s="17"/>
    </row>
    <row r="160" spans="2:76" ht="12.75">
      <c r="B160" s="14" t="s">
        <v>150</v>
      </c>
      <c r="C160" s="15" t="s">
        <v>150</v>
      </c>
      <c r="D160" s="16" t="s">
        <v>150</v>
      </c>
      <c r="E160" s="16" t="s">
        <v>150</v>
      </c>
      <c r="F160" s="19" t="s">
        <v>150</v>
      </c>
      <c r="G160" s="19" t="s">
        <v>150</v>
      </c>
      <c r="H160" s="17" t="s">
        <v>150</v>
      </c>
      <c r="I160" s="18" t="s">
        <v>150</v>
      </c>
      <c r="J160" s="18" t="s">
        <v>150</v>
      </c>
      <c r="K160" s="19" t="s">
        <v>150</v>
      </c>
      <c r="L160" s="19" t="s">
        <v>150</v>
      </c>
      <c r="M160" s="20"/>
      <c r="N160" s="20"/>
      <c r="O160" s="55"/>
      <c r="P160" s="55"/>
      <c r="Q160" s="63"/>
      <c r="R160" s="55"/>
      <c r="S160" s="55"/>
      <c r="T160" s="55"/>
      <c r="U160" s="58"/>
      <c r="V160" s="18"/>
      <c r="W160" s="66"/>
      <c r="X160" s="18"/>
      <c r="Y160" s="18"/>
      <c r="Z160" s="18"/>
      <c r="AA160" s="18"/>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17"/>
      <c r="BN160" s="17"/>
      <c r="BO160" s="17"/>
      <c r="BP160" s="17"/>
      <c r="BQ160" s="17"/>
      <c r="BR160" s="17"/>
      <c r="BS160" s="17"/>
      <c r="BT160" s="17"/>
      <c r="BU160" s="17"/>
      <c r="BV160" s="17"/>
      <c r="BW160" s="17"/>
      <c r="BX160" s="17"/>
    </row>
    <row r="161" spans="2:76" ht="12.75">
      <c r="B161" s="14" t="s">
        <v>150</v>
      </c>
      <c r="C161" s="15" t="s">
        <v>150</v>
      </c>
      <c r="D161" s="16" t="s">
        <v>150</v>
      </c>
      <c r="E161" s="16" t="s">
        <v>150</v>
      </c>
      <c r="F161" s="19" t="s">
        <v>150</v>
      </c>
      <c r="G161" s="19" t="s">
        <v>150</v>
      </c>
      <c r="H161" s="17" t="s">
        <v>150</v>
      </c>
      <c r="I161" s="18" t="s">
        <v>150</v>
      </c>
      <c r="J161" s="18" t="s">
        <v>150</v>
      </c>
      <c r="K161" s="19" t="s">
        <v>150</v>
      </c>
      <c r="L161" s="19" t="s">
        <v>150</v>
      </c>
      <c r="M161" s="20"/>
      <c r="N161" s="20"/>
      <c r="O161" s="55"/>
      <c r="P161" s="55"/>
      <c r="Q161" s="63"/>
      <c r="R161" s="55"/>
      <c r="S161" s="55"/>
      <c r="T161" s="55"/>
      <c r="U161" s="58"/>
      <c r="V161" s="18"/>
      <c r="W161" s="66"/>
      <c r="X161" s="18"/>
      <c r="Y161" s="18"/>
      <c r="Z161" s="18"/>
      <c r="AA161" s="18"/>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17"/>
      <c r="BN161" s="17"/>
      <c r="BO161" s="17"/>
      <c r="BP161" s="17"/>
      <c r="BQ161" s="17"/>
      <c r="BR161" s="17"/>
      <c r="BS161" s="17"/>
      <c r="BT161" s="17"/>
      <c r="BU161" s="17"/>
      <c r="BV161" s="17"/>
      <c r="BW161" s="17"/>
      <c r="BX161" s="17"/>
    </row>
    <row r="162" spans="2:76" ht="12.75">
      <c r="B162" s="14" t="s">
        <v>150</v>
      </c>
      <c r="C162" s="15" t="s">
        <v>150</v>
      </c>
      <c r="D162" s="16" t="s">
        <v>150</v>
      </c>
      <c r="E162" s="16" t="s">
        <v>150</v>
      </c>
      <c r="F162" s="19" t="s">
        <v>150</v>
      </c>
      <c r="G162" s="19" t="s">
        <v>150</v>
      </c>
      <c r="H162" s="17" t="s">
        <v>150</v>
      </c>
      <c r="I162" s="18" t="s">
        <v>150</v>
      </c>
      <c r="J162" s="18" t="s">
        <v>150</v>
      </c>
      <c r="K162" s="19" t="s">
        <v>150</v>
      </c>
      <c r="L162" s="19" t="s">
        <v>150</v>
      </c>
      <c r="M162" s="20"/>
      <c r="N162" s="20"/>
      <c r="O162" s="55"/>
      <c r="P162" s="55"/>
      <c r="Q162" s="63"/>
      <c r="R162" s="55"/>
      <c r="S162" s="55"/>
      <c r="T162" s="55"/>
      <c r="U162" s="58"/>
      <c r="V162" s="18"/>
      <c r="W162" s="66"/>
      <c r="X162" s="18"/>
      <c r="Y162" s="18"/>
      <c r="Z162" s="18"/>
      <c r="AA162" s="18"/>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17"/>
      <c r="BN162" s="17"/>
      <c r="BO162" s="17"/>
      <c r="BP162" s="17"/>
      <c r="BQ162" s="17"/>
      <c r="BR162" s="17"/>
      <c r="BS162" s="17"/>
      <c r="BT162" s="17"/>
      <c r="BU162" s="17"/>
      <c r="BV162" s="17"/>
      <c r="BW162" s="17"/>
      <c r="BX162" s="17"/>
    </row>
    <row r="163" spans="2:76" ht="12.75">
      <c r="B163" s="14" t="s">
        <v>150</v>
      </c>
      <c r="C163" s="15" t="s">
        <v>150</v>
      </c>
      <c r="D163" s="16" t="s">
        <v>150</v>
      </c>
      <c r="E163" s="16" t="s">
        <v>150</v>
      </c>
      <c r="F163" s="19" t="s">
        <v>150</v>
      </c>
      <c r="G163" s="19" t="s">
        <v>150</v>
      </c>
      <c r="H163" s="17" t="s">
        <v>150</v>
      </c>
      <c r="I163" s="18" t="s">
        <v>150</v>
      </c>
      <c r="J163" s="18" t="s">
        <v>150</v>
      </c>
      <c r="K163" s="19" t="s">
        <v>150</v>
      </c>
      <c r="L163" s="19" t="s">
        <v>150</v>
      </c>
      <c r="M163" s="20"/>
      <c r="N163" s="20"/>
      <c r="O163" s="55"/>
      <c r="P163" s="55"/>
      <c r="Q163" s="63"/>
      <c r="R163" s="55"/>
      <c r="S163" s="55"/>
      <c r="T163" s="55"/>
      <c r="U163" s="58"/>
      <c r="V163" s="18"/>
      <c r="W163" s="66"/>
      <c r="X163" s="18"/>
      <c r="Y163" s="18"/>
      <c r="Z163" s="18"/>
      <c r="AA163" s="18"/>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17"/>
      <c r="BN163" s="17"/>
      <c r="BO163" s="17"/>
      <c r="BP163" s="17"/>
      <c r="BQ163" s="17"/>
      <c r="BR163" s="17"/>
      <c r="BS163" s="17"/>
      <c r="BT163" s="17"/>
      <c r="BU163" s="17"/>
      <c r="BV163" s="17"/>
      <c r="BW163" s="17"/>
      <c r="BX163" s="17"/>
    </row>
    <row r="164" spans="2:76" ht="12.75">
      <c r="B164" s="14" t="s">
        <v>150</v>
      </c>
      <c r="C164" s="15" t="s">
        <v>150</v>
      </c>
      <c r="D164" s="16" t="s">
        <v>150</v>
      </c>
      <c r="E164" s="16" t="s">
        <v>150</v>
      </c>
      <c r="F164" s="19" t="s">
        <v>150</v>
      </c>
      <c r="G164" s="19" t="s">
        <v>150</v>
      </c>
      <c r="H164" s="17" t="s">
        <v>150</v>
      </c>
      <c r="I164" s="18" t="s">
        <v>150</v>
      </c>
      <c r="J164" s="18" t="s">
        <v>150</v>
      </c>
      <c r="K164" s="19" t="s">
        <v>150</v>
      </c>
      <c r="L164" s="19" t="s">
        <v>150</v>
      </c>
      <c r="M164" s="20"/>
      <c r="N164" s="20"/>
      <c r="O164" s="55"/>
      <c r="P164" s="55"/>
      <c r="Q164" s="63"/>
      <c r="R164" s="55"/>
      <c r="S164" s="55"/>
      <c r="T164" s="55"/>
      <c r="U164" s="58"/>
      <c r="V164" s="18"/>
      <c r="W164" s="66"/>
      <c r="X164" s="18"/>
      <c r="Y164" s="18"/>
      <c r="Z164" s="18"/>
      <c r="AA164" s="18"/>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17"/>
      <c r="BN164" s="17"/>
      <c r="BO164" s="17"/>
      <c r="BP164" s="17"/>
      <c r="BQ164" s="17"/>
      <c r="BR164" s="17"/>
      <c r="BS164" s="17"/>
      <c r="BT164" s="17"/>
      <c r="BU164" s="17"/>
      <c r="BV164" s="17"/>
      <c r="BW164" s="17"/>
      <c r="BX164" s="17"/>
    </row>
    <row r="165" spans="2:76" ht="12.75">
      <c r="B165" s="14" t="s">
        <v>150</v>
      </c>
      <c r="C165" s="15" t="s">
        <v>150</v>
      </c>
      <c r="D165" s="16" t="s">
        <v>150</v>
      </c>
      <c r="E165" s="16" t="s">
        <v>150</v>
      </c>
      <c r="F165" s="19" t="s">
        <v>150</v>
      </c>
      <c r="G165" s="19" t="s">
        <v>150</v>
      </c>
      <c r="H165" s="17" t="s">
        <v>150</v>
      </c>
      <c r="I165" s="18" t="s">
        <v>150</v>
      </c>
      <c r="J165" s="18" t="s">
        <v>150</v>
      </c>
      <c r="K165" s="19" t="s">
        <v>150</v>
      </c>
      <c r="L165" s="19" t="s">
        <v>150</v>
      </c>
      <c r="M165" s="20"/>
      <c r="N165" s="20"/>
      <c r="O165" s="55"/>
      <c r="P165" s="55"/>
      <c r="Q165" s="63"/>
      <c r="R165" s="55"/>
      <c r="S165" s="55"/>
      <c r="T165" s="55"/>
      <c r="U165" s="58"/>
      <c r="V165" s="18"/>
      <c r="W165" s="66"/>
      <c r="X165" s="18"/>
      <c r="Y165" s="18"/>
      <c r="Z165" s="18"/>
      <c r="AA165" s="18"/>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17"/>
      <c r="BN165" s="17"/>
      <c r="BO165" s="17"/>
      <c r="BP165" s="17"/>
      <c r="BQ165" s="17"/>
      <c r="BR165" s="17"/>
      <c r="BS165" s="17"/>
      <c r="BT165" s="17"/>
      <c r="BU165" s="17"/>
      <c r="BV165" s="17"/>
      <c r="BW165" s="17"/>
      <c r="BX165" s="17"/>
    </row>
    <row r="166" spans="2:76" ht="12.75">
      <c r="B166" s="14" t="s">
        <v>150</v>
      </c>
      <c r="C166" s="15" t="s">
        <v>150</v>
      </c>
      <c r="D166" s="16" t="s">
        <v>150</v>
      </c>
      <c r="E166" s="16" t="s">
        <v>150</v>
      </c>
      <c r="F166" s="19" t="s">
        <v>150</v>
      </c>
      <c r="G166" s="19" t="s">
        <v>150</v>
      </c>
      <c r="H166" s="17" t="s">
        <v>150</v>
      </c>
      <c r="I166" s="18" t="s">
        <v>150</v>
      </c>
      <c r="J166" s="18" t="s">
        <v>150</v>
      </c>
      <c r="K166" s="19" t="s">
        <v>150</v>
      </c>
      <c r="L166" s="19" t="s">
        <v>150</v>
      </c>
      <c r="M166" s="20"/>
      <c r="N166" s="20"/>
      <c r="O166" s="55"/>
      <c r="P166" s="55"/>
      <c r="Q166" s="63"/>
      <c r="R166" s="55"/>
      <c r="S166" s="55"/>
      <c r="T166" s="55"/>
      <c r="U166" s="58"/>
      <c r="V166" s="18"/>
      <c r="W166" s="66"/>
      <c r="X166" s="18"/>
      <c r="Y166" s="18"/>
      <c r="Z166" s="18"/>
      <c r="AA166" s="18"/>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17"/>
      <c r="BN166" s="17"/>
      <c r="BO166" s="17"/>
      <c r="BP166" s="17"/>
      <c r="BQ166" s="17"/>
      <c r="BR166" s="17"/>
      <c r="BS166" s="17"/>
      <c r="BT166" s="17"/>
      <c r="BU166" s="17"/>
      <c r="BV166" s="17"/>
      <c r="BW166" s="17"/>
      <c r="BX166" s="17"/>
    </row>
    <row r="167" spans="2:76" ht="12.75">
      <c r="B167" s="14" t="s">
        <v>150</v>
      </c>
      <c r="C167" s="15" t="s">
        <v>150</v>
      </c>
      <c r="D167" s="16" t="s">
        <v>150</v>
      </c>
      <c r="E167" s="16" t="s">
        <v>150</v>
      </c>
      <c r="F167" s="19" t="s">
        <v>150</v>
      </c>
      <c r="G167" s="19" t="s">
        <v>150</v>
      </c>
      <c r="H167" s="17" t="s">
        <v>150</v>
      </c>
      <c r="I167" s="18" t="s">
        <v>150</v>
      </c>
      <c r="J167" s="18" t="s">
        <v>150</v>
      </c>
      <c r="K167" s="19" t="s">
        <v>150</v>
      </c>
      <c r="L167" s="19" t="s">
        <v>150</v>
      </c>
      <c r="M167" s="20"/>
      <c r="N167" s="20"/>
      <c r="O167" s="55"/>
      <c r="P167" s="55"/>
      <c r="Q167" s="63"/>
      <c r="R167" s="55"/>
      <c r="S167" s="55"/>
      <c r="T167" s="55"/>
      <c r="U167" s="58"/>
      <c r="V167" s="18"/>
      <c r="W167" s="66"/>
      <c r="X167" s="18"/>
      <c r="Y167" s="18"/>
      <c r="Z167" s="18"/>
      <c r="AA167" s="18"/>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17"/>
      <c r="BN167" s="17"/>
      <c r="BO167" s="17"/>
      <c r="BP167" s="17"/>
      <c r="BQ167" s="17"/>
      <c r="BR167" s="17"/>
      <c r="BS167" s="17"/>
      <c r="BT167" s="17"/>
      <c r="BU167" s="17"/>
      <c r="BV167" s="17"/>
      <c r="BW167" s="17"/>
      <c r="BX167" s="17"/>
    </row>
    <row r="168" spans="2:76" ht="12.75">
      <c r="B168" s="14" t="s">
        <v>150</v>
      </c>
      <c r="C168" s="15" t="s">
        <v>150</v>
      </c>
      <c r="D168" s="16" t="s">
        <v>150</v>
      </c>
      <c r="E168" s="16" t="s">
        <v>150</v>
      </c>
      <c r="F168" s="19" t="s">
        <v>150</v>
      </c>
      <c r="G168" s="19" t="s">
        <v>150</v>
      </c>
      <c r="H168" s="17" t="s">
        <v>150</v>
      </c>
      <c r="I168" s="18" t="s">
        <v>150</v>
      </c>
      <c r="J168" s="18" t="s">
        <v>150</v>
      </c>
      <c r="K168" s="19" t="s">
        <v>150</v>
      </c>
      <c r="L168" s="19" t="s">
        <v>150</v>
      </c>
      <c r="M168" s="20"/>
      <c r="N168" s="20"/>
      <c r="O168" s="55"/>
      <c r="P168" s="55"/>
      <c r="Q168" s="63"/>
      <c r="R168" s="55"/>
      <c r="S168" s="55"/>
      <c r="T168" s="55"/>
      <c r="U168" s="58"/>
      <c r="V168" s="18"/>
      <c r="W168" s="66"/>
      <c r="X168" s="18"/>
      <c r="Y168" s="18"/>
      <c r="Z168" s="18"/>
      <c r="AA168" s="18"/>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17"/>
      <c r="BN168" s="17"/>
      <c r="BO168" s="17"/>
      <c r="BP168" s="17"/>
      <c r="BQ168" s="17"/>
      <c r="BR168" s="17"/>
      <c r="BS168" s="17"/>
      <c r="BT168" s="17"/>
      <c r="BU168" s="17"/>
      <c r="BV168" s="17"/>
      <c r="BW168" s="17"/>
      <c r="BX168" s="17"/>
    </row>
    <row r="169" spans="2:76" ht="12.75">
      <c r="B169" s="14" t="s">
        <v>150</v>
      </c>
      <c r="C169" s="15" t="s">
        <v>150</v>
      </c>
      <c r="D169" s="16" t="s">
        <v>150</v>
      </c>
      <c r="E169" s="16" t="s">
        <v>150</v>
      </c>
      <c r="F169" s="19" t="s">
        <v>150</v>
      </c>
      <c r="G169" s="19" t="s">
        <v>150</v>
      </c>
      <c r="H169" s="17" t="s">
        <v>150</v>
      </c>
      <c r="I169" s="18" t="s">
        <v>150</v>
      </c>
      <c r="J169" s="18" t="s">
        <v>150</v>
      </c>
      <c r="K169" s="19" t="s">
        <v>150</v>
      </c>
      <c r="L169" s="19" t="s">
        <v>150</v>
      </c>
      <c r="M169" s="20"/>
      <c r="N169" s="20"/>
      <c r="O169" s="55"/>
      <c r="P169" s="55"/>
      <c r="Q169" s="63"/>
      <c r="R169" s="55"/>
      <c r="S169" s="55"/>
      <c r="T169" s="55"/>
      <c r="U169" s="58"/>
      <c r="V169" s="18"/>
      <c r="W169" s="66"/>
      <c r="X169" s="18"/>
      <c r="Y169" s="18"/>
      <c r="Z169" s="18"/>
      <c r="AA169" s="18"/>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17"/>
      <c r="BN169" s="17"/>
      <c r="BO169" s="17"/>
      <c r="BP169" s="17"/>
      <c r="BQ169" s="17"/>
      <c r="BR169" s="17"/>
      <c r="BS169" s="17"/>
      <c r="BT169" s="17"/>
      <c r="BU169" s="17"/>
      <c r="BV169" s="17"/>
      <c r="BW169" s="17"/>
      <c r="BX169" s="17"/>
    </row>
    <row r="170" spans="2:76" ht="12.75">
      <c r="B170" s="14" t="s">
        <v>150</v>
      </c>
      <c r="C170" s="15" t="s">
        <v>150</v>
      </c>
      <c r="D170" s="16" t="s">
        <v>150</v>
      </c>
      <c r="E170" s="16" t="s">
        <v>150</v>
      </c>
      <c r="F170" s="19" t="s">
        <v>150</v>
      </c>
      <c r="G170" s="19" t="s">
        <v>150</v>
      </c>
      <c r="H170" s="17" t="s">
        <v>150</v>
      </c>
      <c r="I170" s="18" t="s">
        <v>150</v>
      </c>
      <c r="J170" s="18" t="s">
        <v>150</v>
      </c>
      <c r="K170" s="19" t="s">
        <v>150</v>
      </c>
      <c r="L170" s="19" t="s">
        <v>150</v>
      </c>
      <c r="M170" s="20"/>
      <c r="N170" s="20"/>
      <c r="O170" s="55"/>
      <c r="P170" s="55"/>
      <c r="Q170" s="63"/>
      <c r="R170" s="55"/>
      <c r="S170" s="55"/>
      <c r="T170" s="55"/>
      <c r="U170" s="58"/>
      <c r="V170" s="18"/>
      <c r="W170" s="66"/>
      <c r="X170" s="18"/>
      <c r="Y170" s="18"/>
      <c r="Z170" s="18"/>
      <c r="AA170" s="18"/>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17"/>
      <c r="BN170" s="17"/>
      <c r="BO170" s="17"/>
      <c r="BP170" s="17"/>
      <c r="BQ170" s="17"/>
      <c r="BR170" s="17"/>
      <c r="BS170" s="17"/>
      <c r="BT170" s="17"/>
      <c r="BU170" s="17"/>
      <c r="BV170" s="17"/>
      <c r="BW170" s="17"/>
      <c r="BX170" s="17"/>
    </row>
    <row r="171" spans="2:76" ht="12.75">
      <c r="B171" s="14" t="s">
        <v>150</v>
      </c>
      <c r="C171" s="15" t="s">
        <v>150</v>
      </c>
      <c r="D171" s="16" t="s">
        <v>150</v>
      </c>
      <c r="E171" s="16" t="s">
        <v>150</v>
      </c>
      <c r="F171" s="19" t="s">
        <v>150</v>
      </c>
      <c r="G171" s="19" t="s">
        <v>150</v>
      </c>
      <c r="H171" s="17" t="s">
        <v>150</v>
      </c>
      <c r="I171" s="18" t="s">
        <v>150</v>
      </c>
      <c r="J171" s="18" t="s">
        <v>150</v>
      </c>
      <c r="K171" s="19" t="s">
        <v>150</v>
      </c>
      <c r="L171" s="19" t="s">
        <v>150</v>
      </c>
      <c r="M171" s="20"/>
      <c r="N171" s="20"/>
      <c r="O171" s="55"/>
      <c r="P171" s="55"/>
      <c r="Q171" s="63"/>
      <c r="R171" s="55"/>
      <c r="S171" s="55"/>
      <c r="T171" s="55"/>
      <c r="U171" s="58"/>
      <c r="V171" s="18"/>
      <c r="W171" s="66"/>
      <c r="X171" s="18"/>
      <c r="Y171" s="18"/>
      <c r="Z171" s="18"/>
      <c r="AA171" s="18"/>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17"/>
      <c r="BN171" s="17"/>
      <c r="BO171" s="17"/>
      <c r="BP171" s="17"/>
      <c r="BQ171" s="17"/>
      <c r="BR171" s="17"/>
      <c r="BS171" s="17"/>
      <c r="BT171" s="17"/>
      <c r="BU171" s="17"/>
      <c r="BV171" s="17"/>
      <c r="BW171" s="17"/>
      <c r="BX171" s="17"/>
    </row>
    <row r="172" spans="2:76" ht="12.75">
      <c r="B172" s="14" t="s">
        <v>150</v>
      </c>
      <c r="C172" s="15" t="s">
        <v>150</v>
      </c>
      <c r="D172" s="16" t="s">
        <v>150</v>
      </c>
      <c r="E172" s="16" t="s">
        <v>150</v>
      </c>
      <c r="F172" s="19" t="s">
        <v>150</v>
      </c>
      <c r="G172" s="19" t="s">
        <v>150</v>
      </c>
      <c r="H172" s="17" t="s">
        <v>150</v>
      </c>
      <c r="I172" s="18" t="s">
        <v>150</v>
      </c>
      <c r="J172" s="18" t="s">
        <v>150</v>
      </c>
      <c r="K172" s="19" t="s">
        <v>150</v>
      </c>
      <c r="L172" s="19" t="s">
        <v>150</v>
      </c>
      <c r="M172" s="20"/>
      <c r="N172" s="20"/>
      <c r="O172" s="55"/>
      <c r="P172" s="55"/>
      <c r="Q172" s="63"/>
      <c r="R172" s="55"/>
      <c r="S172" s="55"/>
      <c r="T172" s="55"/>
      <c r="U172" s="58"/>
      <c r="V172" s="18"/>
      <c r="W172" s="66"/>
      <c r="X172" s="18"/>
      <c r="Y172" s="18"/>
      <c r="Z172" s="18"/>
      <c r="AA172" s="18"/>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17"/>
      <c r="BN172" s="17"/>
      <c r="BO172" s="17"/>
      <c r="BP172" s="17"/>
      <c r="BQ172" s="17"/>
      <c r="BR172" s="17"/>
      <c r="BS172" s="17"/>
      <c r="BT172" s="17"/>
      <c r="BU172" s="17"/>
      <c r="BV172" s="17"/>
      <c r="BW172" s="17"/>
      <c r="BX172" s="17"/>
    </row>
    <row r="173" spans="2:76" ht="12.75">
      <c r="B173" s="14" t="s">
        <v>150</v>
      </c>
      <c r="C173" s="15" t="s">
        <v>150</v>
      </c>
      <c r="D173" s="16" t="s">
        <v>150</v>
      </c>
      <c r="E173" s="16" t="s">
        <v>150</v>
      </c>
      <c r="F173" s="19" t="s">
        <v>150</v>
      </c>
      <c r="G173" s="19" t="s">
        <v>150</v>
      </c>
      <c r="H173" s="17" t="s">
        <v>150</v>
      </c>
      <c r="I173" s="18" t="s">
        <v>150</v>
      </c>
      <c r="J173" s="18" t="s">
        <v>150</v>
      </c>
      <c r="K173" s="19" t="s">
        <v>150</v>
      </c>
      <c r="L173" s="19" t="s">
        <v>150</v>
      </c>
      <c r="M173" s="20"/>
      <c r="N173" s="20"/>
      <c r="O173" s="55"/>
      <c r="P173" s="55"/>
      <c r="Q173" s="63"/>
      <c r="R173" s="55"/>
      <c r="S173" s="55"/>
      <c r="T173" s="55"/>
      <c r="U173" s="58"/>
      <c r="V173" s="18"/>
      <c r="W173" s="66"/>
      <c r="X173" s="18"/>
      <c r="Y173" s="18"/>
      <c r="Z173" s="18"/>
      <c r="AA173" s="18"/>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17"/>
      <c r="BN173" s="17"/>
      <c r="BO173" s="17"/>
      <c r="BP173" s="17"/>
      <c r="BQ173" s="17"/>
      <c r="BR173" s="17"/>
      <c r="BS173" s="17"/>
      <c r="BT173" s="17"/>
      <c r="BU173" s="17"/>
      <c r="BV173" s="17"/>
      <c r="BW173" s="17"/>
      <c r="BX173" s="17"/>
    </row>
    <row r="174" spans="2:76" ht="12.75">
      <c r="B174" s="14" t="s">
        <v>150</v>
      </c>
      <c r="C174" s="15" t="s">
        <v>150</v>
      </c>
      <c r="D174" s="16" t="s">
        <v>150</v>
      </c>
      <c r="E174" s="16" t="s">
        <v>150</v>
      </c>
      <c r="F174" s="19" t="s">
        <v>150</v>
      </c>
      <c r="G174" s="19" t="s">
        <v>150</v>
      </c>
      <c r="H174" s="17" t="s">
        <v>150</v>
      </c>
      <c r="I174" s="18" t="s">
        <v>150</v>
      </c>
      <c r="J174" s="18" t="s">
        <v>150</v>
      </c>
      <c r="K174" s="19" t="s">
        <v>150</v>
      </c>
      <c r="L174" s="19" t="s">
        <v>150</v>
      </c>
      <c r="M174" s="20"/>
      <c r="N174" s="20"/>
      <c r="O174" s="55"/>
      <c r="P174" s="55"/>
      <c r="Q174" s="63"/>
      <c r="R174" s="55"/>
      <c r="S174" s="55"/>
      <c r="T174" s="55"/>
      <c r="U174" s="58"/>
      <c r="V174" s="18"/>
      <c r="W174" s="66"/>
      <c r="X174" s="18"/>
      <c r="Y174" s="18"/>
      <c r="Z174" s="18"/>
      <c r="AA174" s="18"/>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17"/>
      <c r="BN174" s="17"/>
      <c r="BO174" s="17"/>
      <c r="BP174" s="17"/>
      <c r="BQ174" s="17"/>
      <c r="BR174" s="17"/>
      <c r="BS174" s="17"/>
      <c r="BT174" s="17"/>
      <c r="BU174" s="17"/>
      <c r="BV174" s="17"/>
      <c r="BW174" s="17"/>
      <c r="BX174" s="17"/>
    </row>
    <row r="175" spans="2:76" ht="12.75">
      <c r="B175" s="14" t="s">
        <v>150</v>
      </c>
      <c r="C175" s="15" t="s">
        <v>150</v>
      </c>
      <c r="D175" s="16" t="s">
        <v>150</v>
      </c>
      <c r="E175" s="16" t="s">
        <v>150</v>
      </c>
      <c r="F175" s="19" t="s">
        <v>150</v>
      </c>
      <c r="G175" s="19" t="s">
        <v>150</v>
      </c>
      <c r="H175" s="17" t="s">
        <v>150</v>
      </c>
      <c r="I175" s="18" t="s">
        <v>150</v>
      </c>
      <c r="J175" s="18" t="s">
        <v>150</v>
      </c>
      <c r="K175" s="19" t="s">
        <v>150</v>
      </c>
      <c r="L175" s="19" t="s">
        <v>150</v>
      </c>
      <c r="M175" s="20"/>
      <c r="N175" s="20"/>
      <c r="O175" s="55"/>
      <c r="P175" s="55"/>
      <c r="Q175" s="63"/>
      <c r="R175" s="55"/>
      <c r="S175" s="55"/>
      <c r="T175" s="55"/>
      <c r="U175" s="58"/>
      <c r="V175" s="18"/>
      <c r="W175" s="66"/>
      <c r="X175" s="18"/>
      <c r="Y175" s="18"/>
      <c r="Z175" s="18"/>
      <c r="AA175" s="18"/>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17"/>
      <c r="BN175" s="17"/>
      <c r="BO175" s="17"/>
      <c r="BP175" s="17"/>
      <c r="BQ175" s="17"/>
      <c r="BR175" s="17"/>
      <c r="BS175" s="17"/>
      <c r="BT175" s="17"/>
      <c r="BU175" s="17"/>
      <c r="BV175" s="17"/>
      <c r="BW175" s="17"/>
      <c r="BX175" s="17"/>
    </row>
    <row r="176" spans="2:76" ht="12.75">
      <c r="B176" s="14" t="s">
        <v>150</v>
      </c>
      <c r="C176" s="15" t="s">
        <v>150</v>
      </c>
      <c r="D176" s="16" t="s">
        <v>150</v>
      </c>
      <c r="E176" s="16" t="s">
        <v>150</v>
      </c>
      <c r="F176" s="19" t="s">
        <v>150</v>
      </c>
      <c r="G176" s="19" t="s">
        <v>150</v>
      </c>
      <c r="H176" s="17" t="s">
        <v>150</v>
      </c>
      <c r="I176" s="18" t="s">
        <v>150</v>
      </c>
      <c r="J176" s="18" t="s">
        <v>150</v>
      </c>
      <c r="K176" s="19" t="s">
        <v>150</v>
      </c>
      <c r="L176" s="19" t="s">
        <v>150</v>
      </c>
      <c r="M176" s="20"/>
      <c r="N176" s="20"/>
      <c r="O176" s="55"/>
      <c r="P176" s="55"/>
      <c r="Q176" s="63"/>
      <c r="R176" s="55"/>
      <c r="S176" s="55"/>
      <c r="T176" s="55"/>
      <c r="U176" s="58"/>
      <c r="V176" s="18"/>
      <c r="W176" s="66"/>
      <c r="X176" s="18"/>
      <c r="Y176" s="18"/>
      <c r="Z176" s="18"/>
      <c r="AA176" s="18"/>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17"/>
      <c r="BN176" s="17"/>
      <c r="BO176" s="17"/>
      <c r="BP176" s="17"/>
      <c r="BQ176" s="17"/>
      <c r="BR176" s="17"/>
      <c r="BS176" s="17"/>
      <c r="BT176" s="17"/>
      <c r="BU176" s="17"/>
      <c r="BV176" s="17"/>
      <c r="BW176" s="17"/>
      <c r="BX176" s="17"/>
    </row>
    <row r="177" spans="2:76" ht="12.75">
      <c r="B177" s="14" t="s">
        <v>150</v>
      </c>
      <c r="C177" s="15" t="s">
        <v>150</v>
      </c>
      <c r="D177" s="16" t="s">
        <v>150</v>
      </c>
      <c r="E177" s="16" t="s">
        <v>150</v>
      </c>
      <c r="F177" s="19" t="s">
        <v>150</v>
      </c>
      <c r="G177" s="19" t="s">
        <v>150</v>
      </c>
      <c r="H177" s="17" t="s">
        <v>150</v>
      </c>
      <c r="I177" s="18" t="s">
        <v>150</v>
      </c>
      <c r="J177" s="18" t="s">
        <v>150</v>
      </c>
      <c r="K177" s="19" t="s">
        <v>150</v>
      </c>
      <c r="L177" s="19" t="s">
        <v>150</v>
      </c>
      <c r="M177" s="20"/>
      <c r="N177" s="20"/>
      <c r="O177" s="55"/>
      <c r="P177" s="55"/>
      <c r="Q177" s="63"/>
      <c r="R177" s="55"/>
      <c r="S177" s="55"/>
      <c r="T177" s="55"/>
      <c r="U177" s="58"/>
      <c r="V177" s="18"/>
      <c r="W177" s="66"/>
      <c r="X177" s="18"/>
      <c r="Y177" s="18"/>
      <c r="Z177" s="18"/>
      <c r="AA177" s="18"/>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17"/>
      <c r="BN177" s="17"/>
      <c r="BO177" s="17"/>
      <c r="BP177" s="17"/>
      <c r="BQ177" s="17"/>
      <c r="BR177" s="17"/>
      <c r="BS177" s="17"/>
      <c r="BT177" s="17"/>
      <c r="BU177" s="17"/>
      <c r="BV177" s="17"/>
      <c r="BW177" s="17"/>
      <c r="BX177" s="17"/>
    </row>
    <row r="178" spans="2:76" ht="12.75">
      <c r="B178" s="22" t="s">
        <v>150</v>
      </c>
      <c r="C178" s="22" t="s">
        <v>150</v>
      </c>
      <c r="D178" s="16" t="s">
        <v>150</v>
      </c>
      <c r="E178" s="16" t="s">
        <v>150</v>
      </c>
      <c r="F178" s="19" t="s">
        <v>150</v>
      </c>
      <c r="G178" s="19" t="s">
        <v>150</v>
      </c>
      <c r="H178" s="17" t="s">
        <v>150</v>
      </c>
      <c r="I178" s="18" t="s">
        <v>150</v>
      </c>
      <c r="J178" s="18" t="s">
        <v>150</v>
      </c>
      <c r="K178" s="19" t="s">
        <v>150</v>
      </c>
      <c r="L178" s="19" t="s">
        <v>150</v>
      </c>
      <c r="M178" s="20"/>
      <c r="N178" s="20"/>
      <c r="O178" s="55"/>
      <c r="P178" s="55"/>
      <c r="Q178" s="63"/>
      <c r="R178" s="55"/>
      <c r="S178" s="55"/>
      <c r="T178" s="55"/>
      <c r="U178" s="58"/>
      <c r="V178" s="18"/>
      <c r="W178" s="66"/>
      <c r="X178" s="18"/>
      <c r="Y178" s="18"/>
      <c r="Z178" s="18"/>
      <c r="AA178" s="18"/>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17"/>
      <c r="BN178" s="17"/>
      <c r="BO178" s="17"/>
      <c r="BP178" s="17"/>
      <c r="BQ178" s="17"/>
      <c r="BR178" s="17"/>
      <c r="BS178" s="17"/>
      <c r="BT178" s="17"/>
      <c r="BU178" s="17"/>
      <c r="BV178" s="17"/>
      <c r="BW178" s="17"/>
      <c r="BX178" s="17"/>
    </row>
    <row r="179" spans="2:76" ht="12.75">
      <c r="B179" s="22" t="s">
        <v>150</v>
      </c>
      <c r="C179" s="22" t="s">
        <v>150</v>
      </c>
      <c r="D179" s="16" t="s">
        <v>150</v>
      </c>
      <c r="E179" s="16" t="s">
        <v>150</v>
      </c>
      <c r="F179" s="19" t="s">
        <v>150</v>
      </c>
      <c r="G179" s="19" t="s">
        <v>150</v>
      </c>
      <c r="H179" s="17" t="s">
        <v>150</v>
      </c>
      <c r="I179" s="18" t="s">
        <v>150</v>
      </c>
      <c r="J179" s="18" t="s">
        <v>150</v>
      </c>
      <c r="K179" s="19" t="s">
        <v>150</v>
      </c>
      <c r="L179" s="19" t="s">
        <v>150</v>
      </c>
      <c r="M179" s="20"/>
      <c r="N179" s="20"/>
      <c r="O179" s="55"/>
      <c r="P179" s="55"/>
      <c r="Q179" s="63"/>
      <c r="R179" s="55"/>
      <c r="S179" s="55"/>
      <c r="T179" s="55"/>
      <c r="U179" s="58"/>
      <c r="V179" s="18"/>
      <c r="W179" s="66"/>
      <c r="X179" s="18"/>
      <c r="Y179" s="18"/>
      <c r="Z179" s="18"/>
      <c r="AA179" s="18"/>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17"/>
      <c r="BN179" s="17"/>
      <c r="BO179" s="17"/>
      <c r="BP179" s="17"/>
      <c r="BQ179" s="17"/>
      <c r="BR179" s="17"/>
      <c r="BS179" s="17"/>
      <c r="BT179" s="17"/>
      <c r="BU179" s="17"/>
      <c r="BV179" s="17"/>
      <c r="BW179" s="17"/>
      <c r="BX179" s="17"/>
    </row>
    <row r="180" spans="2:76" ht="12.75">
      <c r="B180" s="22" t="s">
        <v>150</v>
      </c>
      <c r="C180" s="22" t="s">
        <v>150</v>
      </c>
      <c r="D180" s="16" t="s">
        <v>150</v>
      </c>
      <c r="E180" s="16" t="s">
        <v>150</v>
      </c>
      <c r="F180" s="19" t="s">
        <v>150</v>
      </c>
      <c r="G180" s="19" t="s">
        <v>150</v>
      </c>
      <c r="H180" s="17" t="s">
        <v>150</v>
      </c>
      <c r="I180" s="18" t="s">
        <v>150</v>
      </c>
      <c r="J180" s="18" t="s">
        <v>150</v>
      </c>
      <c r="K180" s="19" t="s">
        <v>150</v>
      </c>
      <c r="L180" s="19" t="s">
        <v>150</v>
      </c>
      <c r="M180" s="20"/>
      <c r="N180" s="20"/>
      <c r="O180" s="55"/>
      <c r="P180" s="55"/>
      <c r="Q180" s="63"/>
      <c r="R180" s="55"/>
      <c r="S180" s="55"/>
      <c r="T180" s="55"/>
      <c r="U180" s="58"/>
      <c r="V180" s="18"/>
      <c r="W180" s="66"/>
      <c r="X180" s="18"/>
      <c r="Y180" s="18"/>
      <c r="Z180" s="18"/>
      <c r="AA180" s="18"/>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17"/>
      <c r="BN180" s="17"/>
      <c r="BO180" s="17"/>
      <c r="BP180" s="17"/>
      <c r="BQ180" s="17"/>
      <c r="BR180" s="17"/>
      <c r="BS180" s="17"/>
      <c r="BT180" s="17"/>
      <c r="BU180" s="17"/>
      <c r="BV180" s="17"/>
      <c r="BW180" s="17"/>
      <c r="BX180" s="17"/>
    </row>
    <row r="181" spans="2:76" ht="12.75">
      <c r="B181" s="13" t="s">
        <v>150</v>
      </c>
      <c r="C181" s="13" t="s">
        <v>150</v>
      </c>
      <c r="D181" s="16" t="s">
        <v>150</v>
      </c>
      <c r="E181" s="16" t="s">
        <v>150</v>
      </c>
      <c r="F181" s="19" t="s">
        <v>150</v>
      </c>
      <c r="G181" s="19" t="s">
        <v>150</v>
      </c>
      <c r="H181" s="17" t="s">
        <v>150</v>
      </c>
      <c r="I181" s="18" t="s">
        <v>150</v>
      </c>
      <c r="J181" s="18" t="s">
        <v>150</v>
      </c>
      <c r="K181" s="19" t="s">
        <v>150</v>
      </c>
      <c r="L181" s="19" t="s">
        <v>150</v>
      </c>
      <c r="M181" s="20"/>
      <c r="N181" s="20"/>
      <c r="O181" s="55"/>
      <c r="P181" s="55"/>
      <c r="Q181" s="63"/>
      <c r="R181" s="55"/>
      <c r="S181" s="55"/>
      <c r="T181" s="55"/>
      <c r="U181" s="58"/>
      <c r="V181" s="18"/>
      <c r="W181" s="66"/>
      <c r="X181" s="18"/>
      <c r="Y181" s="18"/>
      <c r="Z181" s="18"/>
      <c r="AA181" s="18"/>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17"/>
      <c r="BN181" s="17"/>
      <c r="BO181" s="17"/>
      <c r="BP181" s="17"/>
      <c r="BQ181" s="17"/>
      <c r="BR181" s="17"/>
      <c r="BS181" s="17"/>
      <c r="BT181" s="17"/>
      <c r="BU181" s="17"/>
      <c r="BV181" s="17"/>
      <c r="BW181" s="17"/>
      <c r="BX181" s="17"/>
    </row>
    <row r="182" spans="4:76" ht="12.75">
      <c r="D182" s="19" t="s">
        <v>150</v>
      </c>
      <c r="E182" s="19" t="s">
        <v>150</v>
      </c>
      <c r="F182" s="19" t="s">
        <v>150</v>
      </c>
      <c r="G182" s="19" t="s">
        <v>150</v>
      </c>
      <c r="H182" s="17" t="s">
        <v>150</v>
      </c>
      <c r="I182" s="18" t="s">
        <v>150</v>
      </c>
      <c r="J182" s="18" t="s">
        <v>150</v>
      </c>
      <c r="K182" s="19" t="s">
        <v>150</v>
      </c>
      <c r="L182" s="19" t="s">
        <v>150</v>
      </c>
      <c r="M182" s="20"/>
      <c r="N182" s="20"/>
      <c r="O182" s="55"/>
      <c r="P182" s="55"/>
      <c r="Q182" s="63"/>
      <c r="R182" s="55"/>
      <c r="S182" s="55"/>
      <c r="T182" s="55"/>
      <c r="U182" s="58"/>
      <c r="V182" s="18"/>
      <c r="W182" s="66"/>
      <c r="X182" s="18"/>
      <c r="Y182" s="18"/>
      <c r="Z182" s="18"/>
      <c r="AA182" s="18"/>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17"/>
      <c r="BN182" s="17"/>
      <c r="BO182" s="17"/>
      <c r="BP182" s="17"/>
      <c r="BQ182" s="17"/>
      <c r="BR182" s="17"/>
      <c r="BS182" s="17"/>
      <c r="BT182" s="17"/>
      <c r="BU182" s="17"/>
      <c r="BV182" s="17"/>
      <c r="BW182" s="17"/>
      <c r="BX182" s="17"/>
    </row>
    <row r="183" spans="4:76" ht="12.75">
      <c r="D183" s="19" t="s">
        <v>150</v>
      </c>
      <c r="E183" s="19" t="s">
        <v>150</v>
      </c>
      <c r="F183" s="19" t="s">
        <v>150</v>
      </c>
      <c r="G183" s="19" t="s">
        <v>150</v>
      </c>
      <c r="H183" s="17" t="s">
        <v>150</v>
      </c>
      <c r="I183" s="18" t="s">
        <v>150</v>
      </c>
      <c r="J183" s="18" t="s">
        <v>150</v>
      </c>
      <c r="K183" s="19" t="s">
        <v>150</v>
      </c>
      <c r="L183" s="19" t="s">
        <v>150</v>
      </c>
      <c r="M183" s="20"/>
      <c r="N183" s="20"/>
      <c r="O183" s="55"/>
      <c r="P183" s="55"/>
      <c r="Q183" s="63"/>
      <c r="R183" s="55"/>
      <c r="S183" s="55"/>
      <c r="T183" s="55"/>
      <c r="U183" s="58"/>
      <c r="V183" s="18"/>
      <c r="W183" s="66"/>
      <c r="X183" s="18"/>
      <c r="Y183" s="18"/>
      <c r="Z183" s="18"/>
      <c r="AA183" s="18"/>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17"/>
      <c r="BN183" s="17"/>
      <c r="BO183" s="17"/>
      <c r="BP183" s="17"/>
      <c r="BQ183" s="17"/>
      <c r="BR183" s="17"/>
      <c r="BS183" s="17"/>
      <c r="BT183" s="17"/>
      <c r="BU183" s="17"/>
      <c r="BV183" s="17"/>
      <c r="BW183" s="17"/>
      <c r="BX183" s="17"/>
    </row>
    <row r="184" spans="4:76" ht="12.75">
      <c r="D184" s="19" t="s">
        <v>150</v>
      </c>
      <c r="E184" s="19" t="s">
        <v>150</v>
      </c>
      <c r="F184" s="19" t="s">
        <v>150</v>
      </c>
      <c r="G184" s="19" t="s">
        <v>150</v>
      </c>
      <c r="H184" s="17" t="s">
        <v>150</v>
      </c>
      <c r="I184" s="18" t="s">
        <v>150</v>
      </c>
      <c r="J184" s="18" t="s">
        <v>150</v>
      </c>
      <c r="K184" s="19" t="s">
        <v>150</v>
      </c>
      <c r="L184" s="19" t="s">
        <v>150</v>
      </c>
      <c r="M184" s="20"/>
      <c r="N184" s="20"/>
      <c r="O184" s="55"/>
      <c r="P184" s="55"/>
      <c r="Q184" s="63"/>
      <c r="R184" s="55"/>
      <c r="S184" s="55"/>
      <c r="T184" s="55"/>
      <c r="U184" s="58"/>
      <c r="V184" s="18"/>
      <c r="W184" s="66"/>
      <c r="X184" s="18"/>
      <c r="Y184" s="18"/>
      <c r="Z184" s="18"/>
      <c r="AA184" s="18"/>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17"/>
      <c r="BN184" s="17"/>
      <c r="BO184" s="17"/>
      <c r="BP184" s="17"/>
      <c r="BQ184" s="17"/>
      <c r="BR184" s="17"/>
      <c r="BS184" s="17"/>
      <c r="BT184" s="17"/>
      <c r="BU184" s="17"/>
      <c r="BV184" s="17"/>
      <c r="BW184" s="17"/>
      <c r="BX184" s="17"/>
    </row>
    <row r="185" spans="4:76" ht="12.75">
      <c r="D185" s="19" t="s">
        <v>150</v>
      </c>
      <c r="E185" s="19" t="s">
        <v>150</v>
      </c>
      <c r="F185" s="19" t="s">
        <v>150</v>
      </c>
      <c r="G185" s="19" t="s">
        <v>150</v>
      </c>
      <c r="H185" s="17" t="s">
        <v>150</v>
      </c>
      <c r="I185" s="18" t="s">
        <v>150</v>
      </c>
      <c r="J185" s="18" t="s">
        <v>150</v>
      </c>
      <c r="K185" s="19" t="s">
        <v>150</v>
      </c>
      <c r="L185" s="19" t="s">
        <v>150</v>
      </c>
      <c r="M185" s="20"/>
      <c r="N185" s="20"/>
      <c r="O185" s="55"/>
      <c r="P185" s="55"/>
      <c r="Q185" s="63"/>
      <c r="R185" s="55"/>
      <c r="S185" s="55"/>
      <c r="T185" s="55"/>
      <c r="U185" s="58"/>
      <c r="V185" s="18"/>
      <c r="W185" s="66"/>
      <c r="X185" s="18"/>
      <c r="Y185" s="18"/>
      <c r="Z185" s="18"/>
      <c r="AA185" s="18"/>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17"/>
      <c r="BN185" s="17"/>
      <c r="BO185" s="17"/>
      <c r="BP185" s="17"/>
      <c r="BQ185" s="17"/>
      <c r="BR185" s="17"/>
      <c r="BS185" s="17"/>
      <c r="BT185" s="17"/>
      <c r="BU185" s="17"/>
      <c r="BV185" s="17"/>
      <c r="BW185" s="17"/>
      <c r="BX185" s="17"/>
    </row>
    <row r="186" spans="4:76" ht="12.75">
      <c r="D186" s="19" t="s">
        <v>150</v>
      </c>
      <c r="E186" s="19" t="s">
        <v>150</v>
      </c>
      <c r="F186" s="19" t="s">
        <v>150</v>
      </c>
      <c r="G186" s="19" t="s">
        <v>150</v>
      </c>
      <c r="H186" s="17" t="s">
        <v>150</v>
      </c>
      <c r="I186" s="18" t="s">
        <v>150</v>
      </c>
      <c r="J186" s="18" t="s">
        <v>150</v>
      </c>
      <c r="K186" s="19" t="s">
        <v>150</v>
      </c>
      <c r="L186" s="19" t="s">
        <v>150</v>
      </c>
      <c r="M186" s="20"/>
      <c r="N186" s="20"/>
      <c r="O186" s="55"/>
      <c r="P186" s="55"/>
      <c r="Q186" s="63"/>
      <c r="R186" s="55"/>
      <c r="S186" s="55"/>
      <c r="T186" s="55"/>
      <c r="U186" s="58"/>
      <c r="V186" s="18"/>
      <c r="W186" s="66"/>
      <c r="X186" s="18"/>
      <c r="Y186" s="18"/>
      <c r="Z186" s="18"/>
      <c r="AA186" s="18"/>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17"/>
      <c r="BN186" s="17"/>
      <c r="BO186" s="17"/>
      <c r="BP186" s="17"/>
      <c r="BQ186" s="17"/>
      <c r="BR186" s="17"/>
      <c r="BS186" s="17"/>
      <c r="BT186" s="17"/>
      <c r="BU186" s="17"/>
      <c r="BV186" s="17"/>
      <c r="BW186" s="17"/>
      <c r="BX186" s="17"/>
    </row>
    <row r="187" spans="4:76" ht="12.75">
      <c r="D187" s="19" t="s">
        <v>150</v>
      </c>
      <c r="E187" s="19" t="s">
        <v>150</v>
      </c>
      <c r="F187" s="19" t="s">
        <v>150</v>
      </c>
      <c r="G187" s="19" t="s">
        <v>150</v>
      </c>
      <c r="H187" s="17" t="s">
        <v>150</v>
      </c>
      <c r="I187" s="18" t="s">
        <v>150</v>
      </c>
      <c r="J187" s="18" t="s">
        <v>150</v>
      </c>
      <c r="K187" s="19" t="s">
        <v>150</v>
      </c>
      <c r="L187" s="19" t="s">
        <v>150</v>
      </c>
      <c r="M187" s="20"/>
      <c r="N187" s="20"/>
      <c r="O187" s="55"/>
      <c r="P187" s="55"/>
      <c r="Q187" s="63"/>
      <c r="R187" s="55"/>
      <c r="S187" s="55"/>
      <c r="T187" s="55"/>
      <c r="U187" s="58"/>
      <c r="V187" s="18"/>
      <c r="W187" s="66"/>
      <c r="X187" s="18"/>
      <c r="Y187" s="18"/>
      <c r="Z187" s="18"/>
      <c r="AA187" s="18"/>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17"/>
      <c r="BN187" s="17"/>
      <c r="BO187" s="17"/>
      <c r="BP187" s="17"/>
      <c r="BQ187" s="17"/>
      <c r="BR187" s="17"/>
      <c r="BS187" s="17"/>
      <c r="BT187" s="17"/>
      <c r="BU187" s="17"/>
      <c r="BV187" s="17"/>
      <c r="BW187" s="17"/>
      <c r="BX187" s="17"/>
    </row>
    <row r="188" spans="4:76" ht="12.75">
      <c r="D188" s="19" t="s">
        <v>150</v>
      </c>
      <c r="E188" s="19" t="s">
        <v>150</v>
      </c>
      <c r="F188" s="19" t="s">
        <v>150</v>
      </c>
      <c r="G188" s="19" t="s">
        <v>150</v>
      </c>
      <c r="H188" s="17" t="s">
        <v>150</v>
      </c>
      <c r="I188" s="18" t="s">
        <v>150</v>
      </c>
      <c r="J188" s="18" t="s">
        <v>150</v>
      </c>
      <c r="K188" s="19" t="s">
        <v>150</v>
      </c>
      <c r="L188" s="19" t="s">
        <v>150</v>
      </c>
      <c r="M188" s="20"/>
      <c r="N188" s="20"/>
      <c r="O188" s="55"/>
      <c r="P188" s="55"/>
      <c r="Q188" s="63"/>
      <c r="R188" s="55"/>
      <c r="S188" s="55"/>
      <c r="T188" s="55"/>
      <c r="U188" s="58"/>
      <c r="V188" s="18"/>
      <c r="W188" s="66"/>
      <c r="X188" s="18"/>
      <c r="Y188" s="18"/>
      <c r="Z188" s="18"/>
      <c r="AA188" s="18"/>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17"/>
      <c r="BN188" s="17"/>
      <c r="BO188" s="17"/>
      <c r="BP188" s="17"/>
      <c r="BQ188" s="17"/>
      <c r="BR188" s="17"/>
      <c r="BS188" s="17"/>
      <c r="BT188" s="17"/>
      <c r="BU188" s="17"/>
      <c r="BV188" s="17"/>
      <c r="BW188" s="17"/>
      <c r="BX188" s="17"/>
    </row>
    <row r="189" spans="4:76" ht="12.75">
      <c r="D189" s="19" t="s">
        <v>150</v>
      </c>
      <c r="E189" s="19" t="s">
        <v>150</v>
      </c>
      <c r="F189" s="19" t="s">
        <v>150</v>
      </c>
      <c r="G189" s="19" t="s">
        <v>150</v>
      </c>
      <c r="H189" s="17" t="s">
        <v>150</v>
      </c>
      <c r="I189" s="18" t="s">
        <v>150</v>
      </c>
      <c r="J189" s="18" t="s">
        <v>150</v>
      </c>
      <c r="K189" s="19" t="s">
        <v>150</v>
      </c>
      <c r="L189" s="19" t="s">
        <v>150</v>
      </c>
      <c r="M189" s="20"/>
      <c r="N189" s="20"/>
      <c r="O189" s="55"/>
      <c r="P189" s="55"/>
      <c r="Q189" s="63"/>
      <c r="R189" s="55"/>
      <c r="S189" s="55"/>
      <c r="T189" s="55"/>
      <c r="U189" s="58"/>
      <c r="V189" s="18"/>
      <c r="W189" s="66"/>
      <c r="X189" s="18"/>
      <c r="Y189" s="18"/>
      <c r="Z189" s="18"/>
      <c r="AA189" s="18"/>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row>
    <row r="190" spans="4:76" ht="12.75">
      <c r="D190" s="19" t="s">
        <v>150</v>
      </c>
      <c r="E190" s="19" t="s">
        <v>150</v>
      </c>
      <c r="F190" s="19" t="s">
        <v>150</v>
      </c>
      <c r="G190" s="19" t="s">
        <v>150</v>
      </c>
      <c r="H190" s="17" t="s">
        <v>150</v>
      </c>
      <c r="I190" s="18" t="s">
        <v>150</v>
      </c>
      <c r="J190" s="18" t="s">
        <v>150</v>
      </c>
      <c r="K190" s="19" t="s">
        <v>150</v>
      </c>
      <c r="L190" s="19" t="s">
        <v>150</v>
      </c>
      <c r="M190" s="20"/>
      <c r="N190" s="20"/>
      <c r="O190" s="55"/>
      <c r="P190" s="55"/>
      <c r="Q190" s="63"/>
      <c r="R190" s="55"/>
      <c r="S190" s="55"/>
      <c r="T190" s="55"/>
      <c r="U190" s="58"/>
      <c r="V190" s="18"/>
      <c r="W190" s="66"/>
      <c r="X190" s="18"/>
      <c r="Y190" s="18"/>
      <c r="Z190" s="18"/>
      <c r="AA190" s="18"/>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row>
    <row r="191" spans="4:76" ht="12.75">
      <c r="D191" s="19" t="s">
        <v>150</v>
      </c>
      <c r="E191" s="19" t="s">
        <v>150</v>
      </c>
      <c r="F191" s="19" t="s">
        <v>150</v>
      </c>
      <c r="G191" s="19" t="s">
        <v>150</v>
      </c>
      <c r="H191" s="17" t="s">
        <v>150</v>
      </c>
      <c r="I191" s="18" t="s">
        <v>150</v>
      </c>
      <c r="J191" s="18" t="s">
        <v>150</v>
      </c>
      <c r="K191" s="19" t="s">
        <v>150</v>
      </c>
      <c r="L191" s="19" t="s">
        <v>150</v>
      </c>
      <c r="M191" s="20"/>
      <c r="N191" s="20"/>
      <c r="O191" s="55"/>
      <c r="P191" s="55"/>
      <c r="Q191" s="63"/>
      <c r="R191" s="55"/>
      <c r="S191" s="55"/>
      <c r="T191" s="55"/>
      <c r="U191" s="58"/>
      <c r="V191" s="18"/>
      <c r="W191" s="66"/>
      <c r="X191" s="18"/>
      <c r="Y191" s="18"/>
      <c r="Z191" s="18"/>
      <c r="AA191" s="18"/>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row>
    <row r="192" spans="4:76" ht="12.75">
      <c r="D192" s="19" t="s">
        <v>150</v>
      </c>
      <c r="E192" s="19" t="s">
        <v>150</v>
      </c>
      <c r="F192" s="19" t="s">
        <v>150</v>
      </c>
      <c r="G192" s="19" t="s">
        <v>150</v>
      </c>
      <c r="H192" s="17" t="s">
        <v>150</v>
      </c>
      <c r="I192" s="18" t="s">
        <v>150</v>
      </c>
      <c r="J192" s="18" t="s">
        <v>150</v>
      </c>
      <c r="K192" s="19" t="s">
        <v>150</v>
      </c>
      <c r="L192" s="19" t="s">
        <v>150</v>
      </c>
      <c r="M192" s="20"/>
      <c r="N192" s="20"/>
      <c r="O192" s="55"/>
      <c r="P192" s="55"/>
      <c r="Q192" s="63"/>
      <c r="R192" s="55"/>
      <c r="S192" s="55"/>
      <c r="T192" s="55"/>
      <c r="U192" s="58"/>
      <c r="V192" s="18"/>
      <c r="W192" s="66"/>
      <c r="X192" s="18"/>
      <c r="Y192" s="18"/>
      <c r="Z192" s="18"/>
      <c r="AA192" s="18"/>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row>
    <row r="193" spans="4:76" ht="12.75">
      <c r="D193" s="19" t="s">
        <v>150</v>
      </c>
      <c r="E193" s="19" t="s">
        <v>150</v>
      </c>
      <c r="F193" s="19" t="s">
        <v>150</v>
      </c>
      <c r="G193" s="19" t="s">
        <v>150</v>
      </c>
      <c r="H193" s="17" t="s">
        <v>150</v>
      </c>
      <c r="I193" s="18" t="s">
        <v>150</v>
      </c>
      <c r="J193" s="18" t="s">
        <v>150</v>
      </c>
      <c r="K193" s="19" t="s">
        <v>150</v>
      </c>
      <c r="L193" s="19" t="s">
        <v>150</v>
      </c>
      <c r="M193" s="20"/>
      <c r="N193" s="20"/>
      <c r="O193" s="55"/>
      <c r="P193" s="55"/>
      <c r="Q193" s="63"/>
      <c r="R193" s="55"/>
      <c r="S193" s="55"/>
      <c r="T193" s="55"/>
      <c r="U193" s="58"/>
      <c r="V193" s="18"/>
      <c r="W193" s="66"/>
      <c r="X193" s="18"/>
      <c r="Y193" s="18"/>
      <c r="Z193" s="18"/>
      <c r="AA193" s="18"/>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row>
    <row r="194" spans="4:76" ht="12.75">
      <c r="D194" s="19" t="s">
        <v>150</v>
      </c>
      <c r="E194" s="19" t="s">
        <v>150</v>
      </c>
      <c r="F194" s="19" t="s">
        <v>150</v>
      </c>
      <c r="G194" s="19" t="s">
        <v>150</v>
      </c>
      <c r="H194" s="17" t="s">
        <v>150</v>
      </c>
      <c r="I194" s="18" t="s">
        <v>150</v>
      </c>
      <c r="J194" s="18" t="s">
        <v>150</v>
      </c>
      <c r="K194" s="19" t="s">
        <v>150</v>
      </c>
      <c r="L194" s="19" t="s">
        <v>150</v>
      </c>
      <c r="M194" s="20"/>
      <c r="N194" s="20"/>
      <c r="O194" s="55"/>
      <c r="P194" s="55"/>
      <c r="Q194" s="63"/>
      <c r="R194" s="55"/>
      <c r="S194" s="55"/>
      <c r="T194" s="55"/>
      <c r="U194" s="58"/>
      <c r="V194" s="18"/>
      <c r="W194" s="66"/>
      <c r="X194" s="18"/>
      <c r="Y194" s="18"/>
      <c r="Z194" s="18"/>
      <c r="AA194" s="18"/>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row>
    <row r="195" spans="4:76" ht="12.75">
      <c r="D195" s="19" t="s">
        <v>150</v>
      </c>
      <c r="E195" s="19" t="s">
        <v>150</v>
      </c>
      <c r="F195" s="19" t="s">
        <v>150</v>
      </c>
      <c r="G195" s="19" t="s">
        <v>150</v>
      </c>
      <c r="H195" s="17" t="s">
        <v>150</v>
      </c>
      <c r="I195" s="18" t="s">
        <v>150</v>
      </c>
      <c r="J195" s="18" t="s">
        <v>150</v>
      </c>
      <c r="K195" s="19" t="s">
        <v>150</v>
      </c>
      <c r="L195" s="19" t="s">
        <v>150</v>
      </c>
      <c r="M195" s="20"/>
      <c r="N195" s="20"/>
      <c r="O195" s="55"/>
      <c r="P195" s="55"/>
      <c r="Q195" s="63"/>
      <c r="R195" s="55"/>
      <c r="S195" s="55"/>
      <c r="T195" s="55"/>
      <c r="U195" s="58"/>
      <c r="V195" s="18"/>
      <c r="W195" s="66"/>
      <c r="X195" s="18"/>
      <c r="Y195" s="18"/>
      <c r="Z195" s="18"/>
      <c r="AA195" s="18"/>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row>
    <row r="196" spans="15:64" ht="12.7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row>
  </sheetData>
  <mergeCells count="6">
    <mergeCell ref="O15:AA15"/>
    <mergeCell ref="BM15:BZ15"/>
    <mergeCell ref="CA15:CJ15"/>
    <mergeCell ref="AN15:BA15"/>
    <mergeCell ref="AF14:AI14"/>
    <mergeCell ref="BF14:BH14"/>
  </mergeCells>
  <conditionalFormatting sqref="B15">
    <cfRule type="expression" priority="1" dxfId="0" stopIfTrue="1">
      <formula>A14 &gt; 30</formula>
    </cfRule>
  </conditionalFormatting>
  <dataValidations count="1" disablePrompts="1">
    <dataValidation type="list" allowBlank="1" showInputMessage="1" showErrorMessage="1" sqref="AE12">
      <formula1>$AG$3:$AG$4</formula1>
    </dataValidation>
  </dataValidations>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64"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6"/>
  <sheetViews>
    <sheetView workbookViewId="0" topLeftCell="A1">
      <selection activeCell="U7" sqref="U7"/>
    </sheetView>
  </sheetViews>
  <sheetFormatPr defaultColWidth="9.140625" defaultRowHeight="12.75"/>
  <cols>
    <col min="1" max="1" width="3.57421875" style="13" customWidth="1"/>
    <col min="2" max="2" width="9.140625" style="13" customWidth="1"/>
    <col min="3" max="3" width="34.00390625" style="13" customWidth="1"/>
    <col min="4" max="4" width="16.57421875" style="13" bestFit="1" customWidth="1"/>
    <col min="5" max="5" width="20.140625" style="13" bestFit="1" customWidth="1"/>
    <col min="6" max="6" width="14.57421875" style="13" bestFit="1" customWidth="1"/>
    <col min="7" max="7" width="11.57421875" style="13" bestFit="1" customWidth="1"/>
    <col min="8" max="12" width="9.140625" style="13" customWidth="1"/>
    <col min="13" max="13" width="11.57421875" style="13" customWidth="1"/>
    <col min="14" max="14" width="18.00390625" style="13" bestFit="1" customWidth="1"/>
    <col min="15" max="15" width="23.28125" style="13" bestFit="1" customWidth="1"/>
    <col min="16" max="16" width="16.8515625" style="13" bestFit="1" customWidth="1"/>
    <col min="17" max="17" width="13.8515625" style="13" bestFit="1" customWidth="1"/>
    <col min="18" max="18" width="17.28125" style="13" bestFit="1" customWidth="1"/>
    <col min="19" max="19" width="22.57421875" style="13" bestFit="1" customWidth="1"/>
    <col min="20" max="20" width="16.140625" style="13" bestFit="1" customWidth="1"/>
    <col min="21" max="21" width="13.140625" style="13" bestFit="1" customWidth="1"/>
    <col min="22" max="22" width="9.140625" style="13" customWidth="1"/>
    <col min="23" max="23" width="45.57421875" style="13" customWidth="1"/>
    <col min="24" max="24" width="9.8515625" style="13" bestFit="1" customWidth="1"/>
    <col min="25" max="26" width="9.28125" style="13" bestFit="1" customWidth="1"/>
    <col min="27" max="27" width="8.7109375" style="13" bestFit="1" customWidth="1"/>
    <col min="28" max="29" width="16.28125" style="13" bestFit="1" customWidth="1"/>
    <col min="30" max="30" width="9.8515625" style="13" bestFit="1" customWidth="1"/>
    <col min="31" max="31" width="7.00390625" style="13" bestFit="1" customWidth="1"/>
    <col min="32" max="16384" width="9.140625" style="13" customWidth="1"/>
  </cols>
  <sheetData>
    <row r="1" ht="12.75">
      <c r="E1" s="97"/>
    </row>
    <row r="2" spans="4:11" ht="12.75">
      <c r="D2" s="104" t="s">
        <v>240</v>
      </c>
      <c r="E2" s="104" t="s">
        <v>240</v>
      </c>
      <c r="F2" s="104" t="s">
        <v>240</v>
      </c>
      <c r="G2" s="104" t="s">
        <v>240</v>
      </c>
      <c r="H2" s="104" t="s">
        <v>240</v>
      </c>
      <c r="I2" s="104" t="s">
        <v>240</v>
      </c>
      <c r="J2" s="104" t="s">
        <v>240</v>
      </c>
      <c r="K2" s="104" t="s">
        <v>240</v>
      </c>
    </row>
    <row r="3" spans="4:11" ht="12.75">
      <c r="D3" s="105">
        <f>ROUND(MAX(D7:D141),2)</f>
        <v>48.24</v>
      </c>
      <c r="E3" s="105">
        <f aca="true" t="shared" si="0" ref="E3:K3">ROUND(MAX(E7:E141),2)</f>
        <v>40.18</v>
      </c>
      <c r="F3" s="105">
        <f t="shared" si="0"/>
        <v>44.05</v>
      </c>
      <c r="G3" s="105">
        <f t="shared" si="0"/>
        <v>35.9</v>
      </c>
      <c r="H3" s="105">
        <f ca="1" t="shared" si="0"/>
        <v>52.77</v>
      </c>
      <c r="I3" s="105">
        <f ca="1" t="shared" si="0"/>
        <v>47.1</v>
      </c>
      <c r="J3" s="105">
        <f ca="1" t="shared" si="0"/>
        <v>49.53</v>
      </c>
      <c r="K3" s="105">
        <f ca="1" t="shared" si="0"/>
        <v>39.3</v>
      </c>
    </row>
    <row r="4" spans="4:11" ht="12.75">
      <c r="D4" s="104" t="s">
        <v>241</v>
      </c>
      <c r="E4" s="104" t="s">
        <v>241</v>
      </c>
      <c r="F4" s="104" t="s">
        <v>241</v>
      </c>
      <c r="G4" s="104" t="s">
        <v>241</v>
      </c>
      <c r="H4" s="104" t="s">
        <v>241</v>
      </c>
      <c r="I4" s="104" t="s">
        <v>241</v>
      </c>
      <c r="J4" s="104" t="s">
        <v>241</v>
      </c>
      <c r="K4" s="104" t="s">
        <v>241</v>
      </c>
    </row>
    <row r="5" spans="4:11" ht="13.5" thickBot="1">
      <c r="D5" s="105">
        <f>ROUND(MIN(D7:D141),2)</f>
        <v>33.95</v>
      </c>
      <c r="E5" s="105">
        <f aca="true" t="shared" si="1" ref="E5:K5">ROUND(MIN(E7:E141),2)</f>
        <v>35.58</v>
      </c>
      <c r="F5" s="105">
        <f t="shared" si="1"/>
        <v>34.79</v>
      </c>
      <c r="G5" s="105">
        <f t="shared" si="1"/>
        <v>35.9</v>
      </c>
      <c r="H5" s="105">
        <f ca="1" t="shared" si="1"/>
        <v>34.91</v>
      </c>
      <c r="I5" s="105">
        <f ca="1" t="shared" si="1"/>
        <v>36.38</v>
      </c>
      <c r="J5" s="105">
        <f ca="1" t="shared" si="1"/>
        <v>35.06</v>
      </c>
      <c r="K5" s="105">
        <f ca="1" t="shared" si="1"/>
        <v>39.3</v>
      </c>
    </row>
    <row r="6" spans="2:31" ht="48.75" thickBot="1">
      <c r="B6" s="120" t="s">
        <v>235</v>
      </c>
      <c r="C6" s="120" t="s">
        <v>239</v>
      </c>
      <c r="D6" s="120" t="str">
        <f>$AA$8&amp;" "&amp;AB8&amp;" Rate"</f>
        <v>Start Rollover Tier Rate</v>
      </c>
      <c r="E6" s="120" t="str">
        <f>$AA$8&amp;" "&amp;AC8&amp;" Rate"</f>
        <v>Start NRU Proposal Tier Rate</v>
      </c>
      <c r="F6" s="120" t="str">
        <f>$AA$8&amp;" "&amp;AD8&amp;" Rate"</f>
        <v>Start BPA Jan24 Tier Rate</v>
      </c>
      <c r="G6" s="120" t="str">
        <f>$AA$8&amp;" "&amp;AE8&amp;" Rate"</f>
        <v>Start Melded Rate</v>
      </c>
      <c r="H6" s="120" t="str">
        <f>$AA$9&amp;" "&amp;AB8&amp;" Rate"</f>
        <v>End Rollover Tier Rate</v>
      </c>
      <c r="I6" s="120" t="str">
        <f>$AA$9&amp;" "&amp;AC8&amp;" Rate"</f>
        <v>End NRU Proposal Tier Rate</v>
      </c>
      <c r="J6" s="120" t="str">
        <f>$AA$9&amp;" "&amp;AD8&amp;" Rate"</f>
        <v>End BPA Jan24 Tier Rate</v>
      </c>
      <c r="K6" s="120" t="str">
        <f>$AA$9&amp;" "&amp;AE8&amp;" Rate"</f>
        <v>End Melded Rate</v>
      </c>
      <c r="L6" s="120" t="str">
        <f>RootCalculations!V16</f>
        <v>End TRL - NLSL - Existing Resources</v>
      </c>
      <c r="M6" s="120" t="s">
        <v>196</v>
      </c>
      <c r="N6" s="120" t="str">
        <f>$AA$8&amp;" "&amp;AB8</f>
        <v>Start Rollover Tier</v>
      </c>
      <c r="O6" s="120" t="str">
        <f>$AA$8&amp;" "&amp;AC8</f>
        <v>Start NRU Proposal Tier</v>
      </c>
      <c r="P6" s="120" t="str">
        <f>$AA$8&amp;" "&amp;AD8</f>
        <v>Start BPA Jan24 Tier</v>
      </c>
      <c r="Q6" s="120" t="str">
        <f>$AA$8&amp;" "&amp;AE8</f>
        <v>Start Melded</v>
      </c>
      <c r="R6" s="120" t="str">
        <f>$AA$9&amp;" "&amp;AB8</f>
        <v>End Rollover Tier</v>
      </c>
      <c r="S6" s="120" t="str">
        <f>$AA$9&amp;" "&amp;AC8</f>
        <v>End NRU Proposal Tier</v>
      </c>
      <c r="T6" s="120" t="str">
        <f>$AA$9&amp;" "&amp;AD8</f>
        <v>End BPA Jan24 Tier</v>
      </c>
      <c r="U6" s="120" t="str">
        <f>$AA$9&amp;" "&amp;AE8</f>
        <v>End Melded</v>
      </c>
      <c r="W6" s="236" t="s">
        <v>248</v>
      </c>
      <c r="X6" s="237"/>
      <c r="Y6" s="237"/>
      <c r="Z6" s="237"/>
      <c r="AA6" s="237"/>
      <c r="AB6" s="237"/>
      <c r="AC6" s="237"/>
      <c r="AD6" s="237"/>
      <c r="AE6" s="238"/>
    </row>
    <row r="7" spans="2:31" ht="13.5" thickBot="1">
      <c r="B7" s="13">
        <f>RootCalculations!G45</f>
        <v>0.099</v>
      </c>
      <c r="C7" s="106" t="str">
        <f>RootCalculations!C45</f>
        <v>Minidoka, City of</v>
      </c>
      <c r="D7" s="105">
        <f>RootCalculations!T45</f>
        <v>33.949064274110405</v>
      </c>
      <c r="E7" s="105">
        <f>RootCalculations!AS45</f>
        <v>35.5763854636149</v>
      </c>
      <c r="F7" s="105">
        <f>RootCalculations!BR45</f>
        <v>34.790963136607154</v>
      </c>
      <c r="G7" s="107">
        <f>RootCalculations!CC45</f>
        <v>35.90132553133049</v>
      </c>
      <c r="H7" s="105">
        <f ca="1">RootCalculations!Z45</f>
        <v>34.90901605903751</v>
      </c>
      <c r="I7" s="105">
        <f ca="1">RootCalculations!AY45</f>
        <v>36.38031310262951</v>
      </c>
      <c r="J7" s="105">
        <f ca="1">RootCalculations!BX45</f>
        <v>35.05800570624853</v>
      </c>
      <c r="K7" s="105">
        <f ca="1">RootCalculations!CG45</f>
        <v>39.30481757441425</v>
      </c>
      <c r="L7" s="13">
        <f ca="1">RootCalculations!V45</f>
        <v>0.10989000000000002</v>
      </c>
      <c r="M7" s="108">
        <f ca="1">RootCalculations!U45</f>
        <v>1.11</v>
      </c>
      <c r="N7" s="58">
        <v>0</v>
      </c>
      <c r="O7" s="58">
        <f aca="true" t="shared" si="2" ref="O7:O38">E7/$D7-1</f>
        <v>0.04793419860898762</v>
      </c>
      <c r="P7" s="58">
        <f aca="true" t="shared" si="3" ref="P7:P38">F7/$D7-1</f>
        <v>0.024798882693764845</v>
      </c>
      <c r="Q7" s="58">
        <f aca="true" t="shared" si="4" ref="Q7:Q38">G7/$D7-1</f>
        <v>0.05750559842996572</v>
      </c>
      <c r="R7" s="58">
        <v>0</v>
      </c>
      <c r="S7" s="58">
        <f aca="true" t="shared" si="5" ref="S7:S38">I7/$H7-1</f>
        <v>0.0421466202629075</v>
      </c>
      <c r="T7" s="58">
        <f aca="true" t="shared" si="6" ref="T7:T38">J7/$H7-1</f>
        <v>0.0042679417534727815</v>
      </c>
      <c r="U7" s="58">
        <f aca="true" t="shared" si="7" ref="U7:U38">K7/$H7-1</f>
        <v>0.1259216675698518</v>
      </c>
      <c r="W7" s="109" t="str">
        <f ca="1">"End System Size and Rate Design | TRL = "&amp;X11&amp;" aMW | Acq. Cost = $"&amp;X13&amp;"/MWh"</f>
        <v>End System Size and Rate Design | TRL = 8175 aMW | Acq. Cost = $63/MWh</v>
      </c>
      <c r="AA7" s="233" t="s">
        <v>246</v>
      </c>
      <c r="AB7" s="234"/>
      <c r="AC7" s="234"/>
      <c r="AD7" s="234"/>
      <c r="AE7" s="235"/>
    </row>
    <row r="8" spans="2:31" ht="12.75">
      <c r="B8" s="13">
        <f>RootCalculations!G62</f>
        <v>0.232</v>
      </c>
      <c r="C8" s="106" t="str">
        <f>RootCalculations!C62</f>
        <v>Consolidated Irrigation District #19</v>
      </c>
      <c r="D8" s="105">
        <f>RootCalculations!T62</f>
        <v>34.452011441798156</v>
      </c>
      <c r="E8" s="105">
        <f>RootCalculations!AS62</f>
        <v>35.5763854636149</v>
      </c>
      <c r="F8" s="105">
        <f>RootCalculations!BR62</f>
        <v>34.790963136607154</v>
      </c>
      <c r="G8" s="107">
        <f>RootCalculations!CC62</f>
        <v>35.90132553133049</v>
      </c>
      <c r="H8" s="105">
        <f ca="1">RootCalculations!Z62</f>
        <v>36.461742628732395</v>
      </c>
      <c r="I8" s="105">
        <f ca="1">RootCalculations!AY62</f>
        <v>36.38031310262951</v>
      </c>
      <c r="J8" s="105">
        <f ca="1">RootCalculations!BX62</f>
        <v>35.05800570624853</v>
      </c>
      <c r="K8" s="105">
        <f ca="1">RootCalculations!CG62</f>
        <v>39.30481757441425</v>
      </c>
      <c r="L8" s="13">
        <f ca="1">RootCalculations!V62</f>
        <v>0.24128000000000002</v>
      </c>
      <c r="M8" s="108">
        <f ca="1">RootCalculations!U62</f>
        <v>1.04</v>
      </c>
      <c r="N8" s="58">
        <f>N7</f>
        <v>0</v>
      </c>
      <c r="O8" s="58">
        <f t="shared" si="2"/>
        <v>0.03263594706846695</v>
      </c>
      <c r="P8" s="58">
        <f t="shared" si="3"/>
        <v>0.009838371712537208</v>
      </c>
      <c r="Q8" s="58">
        <f t="shared" si="4"/>
        <v>0.04206761895399769</v>
      </c>
      <c r="R8" s="58">
        <v>0</v>
      </c>
      <c r="S8" s="58">
        <f ca="1" t="shared" si="5"/>
        <v>-0.0022332867337701012</v>
      </c>
      <c r="T8" s="58">
        <f ca="1" t="shared" si="6"/>
        <v>-0.03849889833234954</v>
      </c>
      <c r="U8" s="58">
        <f ca="1" t="shared" si="7"/>
        <v>0.07797419269372696</v>
      </c>
      <c r="AA8" s="110" t="s">
        <v>192</v>
      </c>
      <c r="AB8" s="111" t="str">
        <f>RootCalculations!O15</f>
        <v>Rollover Tier</v>
      </c>
      <c r="AC8" s="111" t="str">
        <f>RootCalculations!AN15</f>
        <v>NRU Proposal Tier</v>
      </c>
      <c r="AD8" s="111" t="str">
        <f>RootCalculations!BM15</f>
        <v>BPA Jan24 Tier</v>
      </c>
      <c r="AE8" s="112" t="str">
        <f>RootCalculations!CA15</f>
        <v>Melded</v>
      </c>
    </row>
    <row r="9" spans="2:31" ht="12.75">
      <c r="B9" s="13">
        <f>RootCalculations!G36</f>
        <v>0.389</v>
      </c>
      <c r="C9" s="106" t="str">
        <f>RootCalculations!C36</f>
        <v>Declo, City of</v>
      </c>
      <c r="D9" s="105">
        <f>RootCalculations!T36</f>
        <v>36.19875083394765</v>
      </c>
      <c r="E9" s="105">
        <f>RootCalculations!AS36</f>
        <v>35.5763854636149</v>
      </c>
      <c r="F9" s="105">
        <f>RootCalculations!BR36</f>
        <v>34.790963136607154</v>
      </c>
      <c r="G9" s="107">
        <f>RootCalculations!CC36</f>
        <v>35.90132553133049</v>
      </c>
      <c r="H9" s="105">
        <f ca="1">RootCalculations!Z36</f>
        <v>41.60319863433357</v>
      </c>
      <c r="I9" s="105">
        <f ca="1">RootCalculations!AY36</f>
        <v>36.38031310262951</v>
      </c>
      <c r="J9" s="105">
        <f ca="1">RootCalculations!BX36</f>
        <v>35.05800570624853</v>
      </c>
      <c r="K9" s="105">
        <f ca="1">RootCalculations!CG36</f>
        <v>39.30481757441425</v>
      </c>
      <c r="L9" s="13">
        <f ca="1">RootCalculations!V36</f>
        <v>0.47069</v>
      </c>
      <c r="M9" s="108">
        <f ca="1">RootCalculations!U36</f>
        <v>1.21</v>
      </c>
      <c r="N9" s="58">
        <f aca="true" t="shared" si="8" ref="N9:N72">N8</f>
        <v>0</v>
      </c>
      <c r="O9" s="58">
        <f t="shared" si="2"/>
        <v>-0.01719300683019953</v>
      </c>
      <c r="P9" s="58">
        <f t="shared" si="3"/>
        <v>-0.03889050491820434</v>
      </c>
      <c r="Q9" s="58">
        <f t="shared" si="4"/>
        <v>-0.008216452108569139</v>
      </c>
      <c r="R9" s="58">
        <v>0</v>
      </c>
      <c r="S9" s="58">
        <f ca="1" t="shared" si="5"/>
        <v>-0.12554048013495323</v>
      </c>
      <c r="T9" s="58">
        <f ca="1" t="shared" si="6"/>
        <v>-0.1573242717612472</v>
      </c>
      <c r="U9" s="58">
        <f ca="1" t="shared" si="7"/>
        <v>-0.05524529688499846</v>
      </c>
      <c r="W9" s="109" t="str">
        <f ca="1">"Load Change | Total Change = "&amp;X12*100&amp;"%"</f>
        <v>Load Change | Total Change = 114%</v>
      </c>
      <c r="AA9" s="110" t="s">
        <v>193</v>
      </c>
      <c r="AB9" s="111" t="str">
        <f>AC8</f>
        <v>NRU Proposal Tier</v>
      </c>
      <c r="AC9" s="111"/>
      <c r="AD9" s="111"/>
      <c r="AE9" s="112"/>
    </row>
    <row r="10" spans="2:31" ht="12.75">
      <c r="B10" s="13">
        <f>RootCalculations!G26</f>
        <v>0.39</v>
      </c>
      <c r="C10" s="106" t="str">
        <f>RootCalculations!C26</f>
        <v>Albion, City of</v>
      </c>
      <c r="D10" s="105">
        <f>RootCalculations!T26</f>
        <v>33.949064274110405</v>
      </c>
      <c r="E10" s="105">
        <f>RootCalculations!AS26</f>
        <v>35.5763854636149</v>
      </c>
      <c r="F10" s="105">
        <f>RootCalculations!BR26</f>
        <v>34.790963136607154</v>
      </c>
      <c r="G10" s="107">
        <f>RootCalculations!CC26</f>
        <v>35.90132553133049</v>
      </c>
      <c r="H10" s="105">
        <f ca="1">RootCalculations!Z26</f>
        <v>35.1688633096762</v>
      </c>
      <c r="I10" s="105">
        <f ca="1">RootCalculations!AY26</f>
        <v>36.38031310262951</v>
      </c>
      <c r="J10" s="105">
        <f ca="1">RootCalculations!BX26</f>
        <v>35.05800570624853</v>
      </c>
      <c r="K10" s="105">
        <f ca="1">RootCalculations!CG26</f>
        <v>39.30481757441425</v>
      </c>
      <c r="L10" s="13">
        <f ca="1">RootCalculations!V26</f>
        <v>0.4017</v>
      </c>
      <c r="M10" s="108">
        <f ca="1">RootCalculations!U26</f>
        <v>1.03</v>
      </c>
      <c r="N10" s="58">
        <f t="shared" si="8"/>
        <v>0</v>
      </c>
      <c r="O10" s="58">
        <f t="shared" si="2"/>
        <v>0.04793419860898762</v>
      </c>
      <c r="P10" s="58">
        <f t="shared" si="3"/>
        <v>0.024798882693764845</v>
      </c>
      <c r="Q10" s="58">
        <f t="shared" si="4"/>
        <v>0.05750559842996572</v>
      </c>
      <c r="R10" s="58">
        <v>0</v>
      </c>
      <c r="S10" s="58">
        <f ca="1" t="shared" si="5"/>
        <v>0.03444665760977261</v>
      </c>
      <c r="T10" s="58">
        <f ca="1" t="shared" si="6"/>
        <v>-0.0031521520172977935</v>
      </c>
      <c r="U10" s="58">
        <f ca="1" t="shared" si="7"/>
        <v>0.11760272796761417</v>
      </c>
      <c r="W10" s="53" t="s">
        <v>235</v>
      </c>
      <c r="X10" s="113">
        <f>ROUND(RootCalculations!P14,0)</f>
        <v>7153</v>
      </c>
      <c r="AA10" s="114"/>
      <c r="AB10" s="111" t="str">
        <f>AD8</f>
        <v>BPA Jan24 Tier</v>
      </c>
      <c r="AC10" s="111"/>
      <c r="AD10" s="111"/>
      <c r="AE10" s="112"/>
    </row>
    <row r="11" spans="2:31" ht="13.5" thickBot="1">
      <c r="B11" s="13">
        <f>RootCalculations!G75</f>
        <v>0.496</v>
      </c>
      <c r="C11" s="106" t="str">
        <f>RootCalculations!C75</f>
        <v>Farmers Elec Coop</v>
      </c>
      <c r="D11" s="105">
        <f>RootCalculations!T75</f>
        <v>33.949064274110405</v>
      </c>
      <c r="E11" s="105">
        <f>RootCalculations!AS75</f>
        <v>35.5763854636149</v>
      </c>
      <c r="F11" s="105">
        <f>RootCalculations!BR75</f>
        <v>34.790963136607154</v>
      </c>
      <c r="G11" s="107">
        <f>RootCalculations!CC75</f>
        <v>35.90132553133049</v>
      </c>
      <c r="H11" s="105">
        <f ca="1">RootCalculations!Z75</f>
        <v>42.5224065984044</v>
      </c>
      <c r="I11" s="105">
        <f ca="1">RootCalculations!AY75</f>
        <v>36.38031310262951</v>
      </c>
      <c r="J11" s="105">
        <f ca="1">RootCalculations!BX75</f>
        <v>35.05800570624853</v>
      </c>
      <c r="K11" s="105">
        <f ca="1">RootCalculations!CG75</f>
        <v>39.30481757441425</v>
      </c>
      <c r="L11" s="13">
        <f ca="1">RootCalculations!V75</f>
        <v>0.6943999999999999</v>
      </c>
      <c r="M11" s="108">
        <f ca="1">RootCalculations!U75</f>
        <v>1.4</v>
      </c>
      <c r="N11" s="58">
        <f t="shared" si="8"/>
        <v>0</v>
      </c>
      <c r="O11" s="58">
        <f t="shared" si="2"/>
        <v>0.04793419860898762</v>
      </c>
      <c r="P11" s="58">
        <f t="shared" si="3"/>
        <v>0.024798882693764845</v>
      </c>
      <c r="Q11" s="58">
        <f t="shared" si="4"/>
        <v>0.05750559842996572</v>
      </c>
      <c r="R11" s="58">
        <v>0</v>
      </c>
      <c r="S11" s="58">
        <f ca="1" t="shared" si="5"/>
        <v>-0.14444369421003955</v>
      </c>
      <c r="T11" s="58">
        <f ca="1" t="shared" si="6"/>
        <v>-0.17554041479006888</v>
      </c>
      <c r="U11" s="58">
        <f ca="1" t="shared" si="7"/>
        <v>-0.07566808375589185</v>
      </c>
      <c r="W11" s="53" t="s">
        <v>234</v>
      </c>
      <c r="X11" s="113">
        <f ca="1">ROUND(RootCalculations!V14,0)</f>
        <v>8175</v>
      </c>
      <c r="AA11" s="115"/>
      <c r="AB11" s="116" t="str">
        <f>AE8</f>
        <v>Melded</v>
      </c>
      <c r="AC11" s="116"/>
      <c r="AD11" s="116"/>
      <c r="AE11" s="117"/>
    </row>
    <row r="12" spans="2:24" ht="12.75">
      <c r="B12" s="13">
        <f>RootCalculations!G18</f>
        <v>0.583</v>
      </c>
      <c r="C12" s="106" t="str">
        <f>RootCalculations!C18</f>
        <v>Asotin County PUD #1</v>
      </c>
      <c r="D12" s="105">
        <f>RootCalculations!T18</f>
        <v>34.44942337747043</v>
      </c>
      <c r="E12" s="105">
        <f>RootCalculations!AS18</f>
        <v>35.5763854636149</v>
      </c>
      <c r="F12" s="105">
        <f>RootCalculations!BR18</f>
        <v>34.790963136607154</v>
      </c>
      <c r="G12" s="107">
        <f>RootCalculations!CC18</f>
        <v>35.90132553133049</v>
      </c>
      <c r="H12" s="105">
        <f ca="1">RootCalculations!Z18</f>
        <v>42.27256348654032</v>
      </c>
      <c r="I12" s="105">
        <f ca="1">RootCalculations!AY18</f>
        <v>36.38031310262951</v>
      </c>
      <c r="J12" s="105">
        <f ca="1">RootCalculations!BX18</f>
        <v>35.05800570624853</v>
      </c>
      <c r="K12" s="105">
        <f ca="1">RootCalculations!CG18</f>
        <v>39.30481757441425</v>
      </c>
      <c r="L12" s="13">
        <f ca="1">RootCalculations!V18</f>
        <v>0.77539</v>
      </c>
      <c r="M12" s="108">
        <f ca="1">RootCalculations!U18</f>
        <v>1.33</v>
      </c>
      <c r="N12" s="58">
        <f t="shared" si="8"/>
        <v>0</v>
      </c>
      <c r="O12" s="58">
        <f t="shared" si="2"/>
        <v>0.03271352538462202</v>
      </c>
      <c r="P12" s="58">
        <f t="shared" si="3"/>
        <v>0.009914237326831055</v>
      </c>
      <c r="Q12" s="58">
        <f t="shared" si="4"/>
        <v>0.04214590583857469</v>
      </c>
      <c r="R12" s="58">
        <v>0</v>
      </c>
      <c r="S12" s="58">
        <f ca="1" t="shared" si="5"/>
        <v>-0.1393871082785627</v>
      </c>
      <c r="T12" s="58">
        <f ca="1" t="shared" si="6"/>
        <v>-0.1706676194971929</v>
      </c>
      <c r="U12" s="58">
        <f ca="1" t="shared" si="7"/>
        <v>-0.07020501401744905</v>
      </c>
      <c r="W12" s="53" t="s">
        <v>236</v>
      </c>
      <c r="X12" s="121">
        <f ca="1">ROUND((X11/X10),2)</f>
        <v>1.14</v>
      </c>
    </row>
    <row r="13" spans="2:24" ht="12.75">
      <c r="B13" s="13">
        <f>RootCalculations!G133</f>
        <v>0.668</v>
      </c>
      <c r="C13" s="106" t="str">
        <f>RootCalculations!C133</f>
        <v>U.S. DOE Albany Research Center</v>
      </c>
      <c r="D13" s="105">
        <f>RootCalculations!T133</f>
        <v>43.119568020273306</v>
      </c>
      <c r="E13" s="105">
        <f>RootCalculations!AS133</f>
        <v>35.5763854636149</v>
      </c>
      <c r="F13" s="105">
        <f>RootCalculations!BR133</f>
        <v>34.790963136607154</v>
      </c>
      <c r="G13" s="107">
        <f>RootCalculations!CC133</f>
        <v>35.90132553133049</v>
      </c>
      <c r="H13" s="105">
        <f ca="1">RootCalculations!Z133</f>
        <v>46.58815261149391</v>
      </c>
      <c r="I13" s="105">
        <f ca="1">RootCalculations!AY133</f>
        <v>36.38031310262951</v>
      </c>
      <c r="J13" s="105">
        <f ca="1">RootCalculations!BX133</f>
        <v>35.05800570624853</v>
      </c>
      <c r="K13" s="105">
        <f ca="1">RootCalculations!CG133</f>
        <v>39.30481757441425</v>
      </c>
      <c r="L13" s="13">
        <f ca="1">RootCalculations!V133</f>
        <v>0.78156</v>
      </c>
      <c r="M13" s="108">
        <f ca="1">RootCalculations!U133</f>
        <v>1.17</v>
      </c>
      <c r="N13" s="58">
        <f t="shared" si="8"/>
        <v>0</v>
      </c>
      <c r="O13" s="58">
        <f t="shared" si="2"/>
        <v>-0.1749364129323343</v>
      </c>
      <c r="P13" s="58">
        <f t="shared" si="3"/>
        <v>-0.19315139891360544</v>
      </c>
      <c r="Q13" s="58">
        <f t="shared" si="4"/>
        <v>-0.16740062158204017</v>
      </c>
      <c r="R13" s="58">
        <v>0</v>
      </c>
      <c r="S13" s="58">
        <f ca="1" t="shared" si="5"/>
        <v>-0.21910805508836584</v>
      </c>
      <c r="T13" s="58">
        <f ca="1" t="shared" si="6"/>
        <v>-0.24749096624193556</v>
      </c>
      <c r="U13" s="58">
        <f ca="1" t="shared" si="7"/>
        <v>-0.1563344891096361</v>
      </c>
      <c r="W13" s="53" t="s">
        <v>247</v>
      </c>
      <c r="X13" s="97">
        <f>ROUND(RootCalculations!T5,0)</f>
        <v>63</v>
      </c>
    </row>
    <row r="14" spans="2:21" ht="12.75">
      <c r="B14" s="13">
        <f>RootCalculations!G17</f>
        <v>0.689</v>
      </c>
      <c r="C14" s="106" t="str">
        <f>RootCalculations!C17</f>
        <v>Alder Mutual</v>
      </c>
      <c r="D14" s="105">
        <f>RootCalculations!T17</f>
        <v>39.91873326881349</v>
      </c>
      <c r="E14" s="105">
        <f>RootCalculations!AS17</f>
        <v>35.5763854636149</v>
      </c>
      <c r="F14" s="105">
        <f>RootCalculations!BR17</f>
        <v>34.790963136607154</v>
      </c>
      <c r="G14" s="107">
        <f>RootCalculations!CC17</f>
        <v>35.90132553133049</v>
      </c>
      <c r="H14" s="105">
        <f ca="1">RootCalculations!Z17</f>
        <v>45.169789027985544</v>
      </c>
      <c r="I14" s="105">
        <f ca="1">RootCalculations!AY17</f>
        <v>36.38031310262951</v>
      </c>
      <c r="J14" s="105">
        <f ca="1">RootCalculations!BX17</f>
        <v>35.05800570624853</v>
      </c>
      <c r="K14" s="105">
        <f ca="1">RootCalculations!CG17</f>
        <v>39.30481757441425</v>
      </c>
      <c r="L14" s="13">
        <f ca="1">RootCalculations!V17</f>
        <v>0.86125</v>
      </c>
      <c r="M14" s="108">
        <f ca="1">RootCalculations!U17</f>
        <v>1.25</v>
      </c>
      <c r="N14" s="58">
        <f t="shared" si="8"/>
        <v>0</v>
      </c>
      <c r="O14" s="58">
        <f t="shared" si="2"/>
        <v>-0.10877969939469623</v>
      </c>
      <c r="P14" s="58">
        <f t="shared" si="3"/>
        <v>-0.12845523172481044</v>
      </c>
      <c r="Q14" s="58">
        <f t="shared" si="4"/>
        <v>-0.10063965984165124</v>
      </c>
      <c r="R14" s="58">
        <v>0</v>
      </c>
      <c r="S14" s="58">
        <f ca="1" t="shared" si="5"/>
        <v>-0.1945874912081258</v>
      </c>
      <c r="T14" s="58">
        <f ca="1" t="shared" si="6"/>
        <v>-0.22386164601017122</v>
      </c>
      <c r="U14" s="58">
        <f ca="1" t="shared" si="7"/>
        <v>-0.12984279049737368</v>
      </c>
    </row>
    <row r="15" spans="2:24" ht="12.75">
      <c r="B15" s="13">
        <f>RootCalculations!G134</f>
        <v>1.638</v>
      </c>
      <c r="C15" s="106" t="str">
        <f>RootCalculations!C134</f>
        <v>U.S. Naval Station, Everett (Jim Creek)</v>
      </c>
      <c r="D15" s="105">
        <f>RootCalculations!T134</f>
        <v>35.92584929582819</v>
      </c>
      <c r="E15" s="105">
        <f>RootCalculations!AS134</f>
        <v>35.5763854636149</v>
      </c>
      <c r="F15" s="105">
        <f>RootCalculations!BR134</f>
        <v>34.790963136607154</v>
      </c>
      <c r="G15" s="107">
        <f>RootCalculations!CC134</f>
        <v>35.90132553133049</v>
      </c>
      <c r="H15" s="105">
        <f ca="1">RootCalculations!Z134</f>
        <v>41.563237215591926</v>
      </c>
      <c r="I15" s="105">
        <f ca="1">RootCalculations!AY134</f>
        <v>36.38031310262951</v>
      </c>
      <c r="J15" s="105">
        <f ca="1">RootCalculations!BX134</f>
        <v>35.05800570624853</v>
      </c>
      <c r="K15" s="105">
        <f ca="1">RootCalculations!CG134</f>
        <v>39.30481757441425</v>
      </c>
      <c r="L15" s="13">
        <f ca="1">RootCalculations!V134</f>
        <v>1.99836</v>
      </c>
      <c r="M15" s="108">
        <f ca="1">RootCalculations!U134</f>
        <v>1.22</v>
      </c>
      <c r="N15" s="58">
        <f t="shared" si="8"/>
        <v>0</v>
      </c>
      <c r="O15" s="58">
        <f t="shared" si="2"/>
        <v>-0.009727364531751714</v>
      </c>
      <c r="P15" s="58">
        <f t="shared" si="3"/>
        <v>-0.03158968212208213</v>
      </c>
      <c r="Q15" s="58">
        <f t="shared" si="4"/>
        <v>-0.000682621704939046</v>
      </c>
      <c r="R15" s="58">
        <v>0</v>
      </c>
      <c r="S15" s="58">
        <f ca="1" t="shared" si="5"/>
        <v>-0.12469972168140231</v>
      </c>
      <c r="T15" s="58">
        <f ca="1" t="shared" si="6"/>
        <v>-0.15651407217393165</v>
      </c>
      <c r="U15" s="58">
        <f ca="1" t="shared" si="7"/>
        <v>-0.05433695237604008</v>
      </c>
      <c r="W15" s="53"/>
      <c r="X15" s="53" t="s">
        <v>237</v>
      </c>
    </row>
    <row r="16" spans="2:25" ht="12.75">
      <c r="B16" s="13">
        <f>RootCalculations!G37</f>
        <v>1.864</v>
      </c>
      <c r="C16" s="106" t="str">
        <f>RootCalculations!C37</f>
        <v>Drain, City of</v>
      </c>
      <c r="D16" s="105">
        <f>RootCalculations!T37</f>
        <v>33.949064274110405</v>
      </c>
      <c r="E16" s="105">
        <f>RootCalculations!AS37</f>
        <v>35.5763854636149</v>
      </c>
      <c r="F16" s="105">
        <f>RootCalculations!BR37</f>
        <v>34.790963136607154</v>
      </c>
      <c r="G16" s="107">
        <f>RootCalculations!CC37</f>
        <v>35.90132553133049</v>
      </c>
      <c r="H16" s="105">
        <f ca="1">RootCalculations!Z37</f>
        <v>35.26642659344968</v>
      </c>
      <c r="I16" s="105">
        <f ca="1">RootCalculations!AY37</f>
        <v>36.38031310262951</v>
      </c>
      <c r="J16" s="105">
        <f ca="1">RootCalculations!BX37</f>
        <v>35.05800570624853</v>
      </c>
      <c r="K16" s="105">
        <f ca="1">RootCalculations!CG37</f>
        <v>39.30481757441425</v>
      </c>
      <c r="L16" s="13">
        <f ca="1">RootCalculations!V37</f>
        <v>1.93856</v>
      </c>
      <c r="M16" s="108">
        <f ca="1">RootCalculations!U37</f>
        <v>1.04</v>
      </c>
      <c r="N16" s="58">
        <f t="shared" si="8"/>
        <v>0</v>
      </c>
      <c r="O16" s="58">
        <f t="shared" si="2"/>
        <v>0.04793419860898762</v>
      </c>
      <c r="P16" s="58">
        <f t="shared" si="3"/>
        <v>0.024798882693764845</v>
      </c>
      <c r="Q16" s="58">
        <f t="shared" si="4"/>
        <v>0.05750559842996572</v>
      </c>
      <c r="R16" s="58">
        <v>0</v>
      </c>
      <c r="S16" s="58">
        <f ca="1" t="shared" si="5"/>
        <v>0.031584898635199865</v>
      </c>
      <c r="T16" s="58">
        <f ca="1" t="shared" si="6"/>
        <v>-0.0059098952554456075</v>
      </c>
      <c r="U16" s="58">
        <f ca="1" t="shared" si="7"/>
        <v>0.11451092075528435</v>
      </c>
      <c r="W16" s="118" t="str">
        <f>$AA$9&amp;" "&amp;AB8</f>
        <v>End Rollover Tier</v>
      </c>
      <c r="X16" s="105">
        <f ca="1">ROUND(RootCalculations!Z14,2)</f>
        <v>34.91</v>
      </c>
      <c r="Y16" s="13" t="str">
        <f ca="1">W16&amp;" 1 Rate $"&amp;X16&amp;"/MWh"&amp;" | Max $"&amp;X58&amp;"/MWh"</f>
        <v>End Rollover Tier 1 Rate $34.91/MWh | Max $52.77/MWh</v>
      </c>
    </row>
    <row r="17" spans="2:31" ht="12.75">
      <c r="B17" s="13">
        <f>RootCalculations!G53</f>
        <v>2</v>
      </c>
      <c r="C17" s="106" t="str">
        <f>RootCalculations!C53</f>
        <v>Troy, City of</v>
      </c>
      <c r="D17" s="105">
        <f>RootCalculations!T53</f>
        <v>33.949064274110405</v>
      </c>
      <c r="E17" s="105">
        <f>RootCalculations!AS53</f>
        <v>35.5763854636149</v>
      </c>
      <c r="F17" s="105">
        <f>RootCalculations!BR53</f>
        <v>34.790963136607154</v>
      </c>
      <c r="G17" s="107">
        <f>RootCalculations!CC53</f>
        <v>35.90132553133049</v>
      </c>
      <c r="H17" s="105">
        <f ca="1">RootCalculations!Z53</f>
        <v>40.30492647949145</v>
      </c>
      <c r="I17" s="105">
        <f ca="1">RootCalculations!AY53</f>
        <v>36.38031310262951</v>
      </c>
      <c r="J17" s="105">
        <f ca="1">RootCalculations!BX53</f>
        <v>35.05800570624853</v>
      </c>
      <c r="K17" s="105">
        <f ca="1">RootCalculations!CG53</f>
        <v>39.30481757441425</v>
      </c>
      <c r="L17" s="13">
        <f ca="1">RootCalculations!V53</f>
        <v>2.52</v>
      </c>
      <c r="M17" s="108">
        <f ca="1">RootCalculations!U53</f>
        <v>1.26</v>
      </c>
      <c r="N17" s="58">
        <f t="shared" si="8"/>
        <v>0</v>
      </c>
      <c r="O17" s="58">
        <f t="shared" si="2"/>
        <v>0.04793419860898762</v>
      </c>
      <c r="P17" s="58">
        <f t="shared" si="3"/>
        <v>0.024798882693764845</v>
      </c>
      <c r="Q17" s="58">
        <f t="shared" si="4"/>
        <v>0.05750559842996572</v>
      </c>
      <c r="R17" s="58">
        <v>0</v>
      </c>
      <c r="S17" s="58">
        <f ca="1" t="shared" si="5"/>
        <v>-0.09737304393444113</v>
      </c>
      <c r="T17" s="58">
        <f ca="1" t="shared" si="6"/>
        <v>-0.13018063129113355</v>
      </c>
      <c r="U17" s="58">
        <f ca="1" t="shared" si="7"/>
        <v>-0.024813564802955046</v>
      </c>
      <c r="W17" s="118" t="str">
        <f>$AA$9&amp;" "&amp;AC8</f>
        <v>End NRU Proposal Tier</v>
      </c>
      <c r="X17" s="105">
        <f ca="1">ROUND(RootCalculations!AY14,2)</f>
        <v>36.38</v>
      </c>
      <c r="Y17" s="13" t="str">
        <f ca="1">W17&amp;" 1 Rate $"&amp;X17&amp;"/MWh"&amp;" | Max $"&amp;X59&amp;"/MWh"</f>
        <v>End NRU Proposal Tier 1 Rate $36.38/MWh | Max $47.1/MWh</v>
      </c>
      <c r="AE17" s="53"/>
    </row>
    <row r="18" spans="2:25" ht="12.75">
      <c r="B18" s="13">
        <f>RootCalculations!G129</f>
        <v>2.043</v>
      </c>
      <c r="C18" s="106" t="str">
        <f>RootCalculations!C129</f>
        <v>Coulee Dam, City of</v>
      </c>
      <c r="D18" s="105">
        <f>RootCalculations!T129</f>
        <v>34.263190845803784</v>
      </c>
      <c r="E18" s="105">
        <f>RootCalculations!AS129</f>
        <v>35.5763854636149</v>
      </c>
      <c r="F18" s="105">
        <f>RootCalculations!BR129</f>
        <v>34.790963136607154</v>
      </c>
      <c r="G18" s="107">
        <f>RootCalculations!CC129</f>
        <v>35.90132553133049</v>
      </c>
      <c r="H18" s="105">
        <f ca="1">RootCalculations!Z129</f>
        <v>39.46983509433403</v>
      </c>
      <c r="I18" s="105">
        <f ca="1">RootCalculations!AY129</f>
        <v>36.38031310262951</v>
      </c>
      <c r="J18" s="105">
        <f ca="1">RootCalculations!BX129</f>
        <v>35.05800570624853</v>
      </c>
      <c r="K18" s="105">
        <f ca="1">RootCalculations!CG129</f>
        <v>39.30481757441425</v>
      </c>
      <c r="L18" s="13">
        <f ca="1">RootCalculations!V129</f>
        <v>2.41074</v>
      </c>
      <c r="M18" s="108">
        <f ca="1">RootCalculations!U129</f>
        <v>1.18</v>
      </c>
      <c r="N18" s="58">
        <f t="shared" si="8"/>
        <v>0</v>
      </c>
      <c r="O18" s="58">
        <f t="shared" si="2"/>
        <v>0.038326687777590296</v>
      </c>
      <c r="P18" s="58">
        <f t="shared" si="3"/>
        <v>0.015403477544707611</v>
      </c>
      <c r="Q18" s="58">
        <f t="shared" si="4"/>
        <v>0.04781033654743028</v>
      </c>
      <c r="R18" s="58">
        <v>0</v>
      </c>
      <c r="S18" s="58">
        <f ca="1" t="shared" si="5"/>
        <v>-0.07827552317663544</v>
      </c>
      <c r="T18" s="58">
        <f ca="1" t="shared" si="6"/>
        <v>-0.11177724400269473</v>
      </c>
      <c r="U18" s="58">
        <f ca="1" t="shared" si="7"/>
        <v>-0.004180851516743966</v>
      </c>
      <c r="W18" s="118" t="str">
        <f>$AA$9&amp;" "&amp;AD8</f>
        <v>End BPA Jan24 Tier</v>
      </c>
      <c r="X18" s="105">
        <f ca="1">ROUND(RootCalculations!BX14,2)</f>
        <v>35.06</v>
      </c>
      <c r="Y18" s="13" t="str">
        <f ca="1">W18&amp;" 1 Rate $"&amp;X18&amp;"/MWh"&amp;" | Max $"&amp;X60&amp;"/MWh"</f>
        <v>End BPA Jan24 Tier 1 Rate $35.06/MWh | Max $49.53/MWh</v>
      </c>
    </row>
    <row r="19" spans="2:25" ht="12.75">
      <c r="B19" s="13">
        <f>RootCalculations!G71</f>
        <v>2.268</v>
      </c>
      <c r="C19" s="106" t="str">
        <f>RootCalculations!C71</f>
        <v>Energy Northwest</v>
      </c>
      <c r="D19" s="105">
        <f>RootCalculations!T71</f>
        <v>33.949064274110405</v>
      </c>
      <c r="E19" s="105">
        <f>RootCalculations!AS71</f>
        <v>35.5763854636149</v>
      </c>
      <c r="F19" s="105">
        <f>RootCalculations!BR71</f>
        <v>34.790963136607154</v>
      </c>
      <c r="G19" s="107">
        <f>RootCalculations!CC71</f>
        <v>35.90132553133049</v>
      </c>
      <c r="H19" s="105">
        <f ca="1">RootCalculations!Z71</f>
        <v>34.90901605903751</v>
      </c>
      <c r="I19" s="105">
        <f ca="1">RootCalculations!AY71</f>
        <v>36.38031310262951</v>
      </c>
      <c r="J19" s="105">
        <f ca="1">RootCalculations!BX71</f>
        <v>35.05800570624853</v>
      </c>
      <c r="K19" s="105">
        <f ca="1">RootCalculations!CG71</f>
        <v>39.30481757441425</v>
      </c>
      <c r="L19" s="13">
        <f ca="1">RootCalculations!V71</f>
        <v>2.6762399999999995</v>
      </c>
      <c r="M19" s="108">
        <f ca="1">RootCalculations!U71</f>
        <v>1.18</v>
      </c>
      <c r="N19" s="58">
        <f t="shared" si="8"/>
        <v>0</v>
      </c>
      <c r="O19" s="58">
        <f t="shared" si="2"/>
        <v>0.04793419860898762</v>
      </c>
      <c r="P19" s="58">
        <f t="shared" si="3"/>
        <v>0.024798882693764845</v>
      </c>
      <c r="Q19" s="58">
        <f t="shared" si="4"/>
        <v>0.05750559842996572</v>
      </c>
      <c r="R19" s="58">
        <v>0</v>
      </c>
      <c r="S19" s="58">
        <f ca="1" t="shared" si="5"/>
        <v>0.0421466202629075</v>
      </c>
      <c r="T19" s="58">
        <f ca="1" t="shared" si="6"/>
        <v>0.0042679417534727815</v>
      </c>
      <c r="U19" s="58">
        <f ca="1" t="shared" si="7"/>
        <v>0.1259216675698518</v>
      </c>
      <c r="W19" s="118" t="str">
        <f>$AA$9&amp;" "&amp;AE8</f>
        <v>End Melded</v>
      </c>
      <c r="X19" s="105">
        <f ca="1">ROUND(RootCalculations!CG14,2)</f>
        <v>39.3</v>
      </c>
      <c r="Y19" s="13" t="str">
        <f ca="1">W19&amp;" 1 Rate $"&amp;X19&amp;"/MWh"&amp;" | Max $"&amp;X61&amp;"/MWh"</f>
        <v>End Melded 1 Rate $39.3/MWh | Max $39.3/MWh</v>
      </c>
    </row>
    <row r="20" spans="2:21" ht="12.75">
      <c r="B20" s="13">
        <f>RootCalculations!G35</f>
        <v>2.52</v>
      </c>
      <c r="C20" s="106" t="str">
        <f>RootCalculations!C35</f>
        <v>Chewelah, City of</v>
      </c>
      <c r="D20" s="105">
        <f>RootCalculations!T35</f>
        <v>33.949064274110405</v>
      </c>
      <c r="E20" s="105">
        <f>RootCalculations!AS35</f>
        <v>35.5763854636149</v>
      </c>
      <c r="F20" s="105">
        <f>RootCalculations!BR35</f>
        <v>34.790963136607154</v>
      </c>
      <c r="G20" s="107">
        <f>RootCalculations!CC35</f>
        <v>35.90132553133049</v>
      </c>
      <c r="H20" s="105">
        <f ca="1">RootCalculations!Z35</f>
        <v>34.90901605903751</v>
      </c>
      <c r="I20" s="105">
        <f ca="1">RootCalculations!AY35</f>
        <v>36.38031310262951</v>
      </c>
      <c r="J20" s="105">
        <f ca="1">RootCalculations!BX35</f>
        <v>35.05800570624853</v>
      </c>
      <c r="K20" s="105">
        <f ca="1">RootCalculations!CG35</f>
        <v>39.30481757441425</v>
      </c>
      <c r="L20" s="13">
        <f ca="1">RootCalculations!V35</f>
        <v>2.5956</v>
      </c>
      <c r="M20" s="108">
        <f ca="1">RootCalculations!U35</f>
        <v>1.03</v>
      </c>
      <c r="N20" s="58">
        <f t="shared" si="8"/>
        <v>0</v>
      </c>
      <c r="O20" s="58">
        <f t="shared" si="2"/>
        <v>0.04793419860898762</v>
      </c>
      <c r="P20" s="58">
        <f t="shared" si="3"/>
        <v>0.024798882693764845</v>
      </c>
      <c r="Q20" s="58">
        <f t="shared" si="4"/>
        <v>0.05750559842996572</v>
      </c>
      <c r="R20" s="58">
        <v>0</v>
      </c>
      <c r="S20" s="58">
        <f ca="1" t="shared" si="5"/>
        <v>0.0421466202629075</v>
      </c>
      <c r="T20" s="58">
        <f ca="1" t="shared" si="6"/>
        <v>0.0042679417534727815</v>
      </c>
      <c r="U20" s="58">
        <f ca="1" t="shared" si="7"/>
        <v>0.1259216675698518</v>
      </c>
    </row>
    <row r="21" spans="2:24" ht="12.75">
      <c r="B21" s="13">
        <f>RootCalculations!G117</f>
        <v>2.787</v>
      </c>
      <c r="C21" s="106" t="str">
        <f>RootCalculations!C117</f>
        <v>Riverside Elec Coop</v>
      </c>
      <c r="D21" s="105">
        <f>RootCalculations!T117</f>
        <v>38.28231414512522</v>
      </c>
      <c r="E21" s="105">
        <f>RootCalculations!AS117</f>
        <v>35.5763854636149</v>
      </c>
      <c r="F21" s="105">
        <f>RootCalculations!BR117</f>
        <v>34.790963136607154</v>
      </c>
      <c r="G21" s="107">
        <f>RootCalculations!CC117</f>
        <v>35.90132553133049</v>
      </c>
      <c r="H21" s="105">
        <f ca="1">RootCalculations!Z117</f>
        <v>45.194379209468266</v>
      </c>
      <c r="I21" s="105">
        <f ca="1">RootCalculations!AY117</f>
        <v>36.38031310262951</v>
      </c>
      <c r="J21" s="105">
        <f ca="1">RootCalculations!BX117</f>
        <v>35.05800570624853</v>
      </c>
      <c r="K21" s="105">
        <f ca="1">RootCalculations!CG117</f>
        <v>39.30481757441425</v>
      </c>
      <c r="L21" s="13">
        <f ca="1">RootCalculations!V117</f>
        <v>3.7345800000000002</v>
      </c>
      <c r="M21" s="108">
        <f ca="1">RootCalculations!U117</f>
        <v>1.34</v>
      </c>
      <c r="N21" s="58">
        <f t="shared" si="8"/>
        <v>0</v>
      </c>
      <c r="O21" s="58">
        <f t="shared" si="2"/>
        <v>-0.0706835190592805</v>
      </c>
      <c r="P21" s="58">
        <f t="shared" si="3"/>
        <v>-0.0912001034023866</v>
      </c>
      <c r="Q21" s="58">
        <f t="shared" si="4"/>
        <v>-0.062195524668874236</v>
      </c>
      <c r="R21" s="58">
        <v>0</v>
      </c>
      <c r="S21" s="58">
        <f ca="1" t="shared" si="5"/>
        <v>-0.19502571472410457</v>
      </c>
      <c r="T21" s="58">
        <f ca="1" t="shared" si="6"/>
        <v>-0.22428394151050002</v>
      </c>
      <c r="U21" s="58">
        <f ca="1" t="shared" si="7"/>
        <v>-0.13031624149005117</v>
      </c>
      <c r="X21" s="53" t="s">
        <v>243</v>
      </c>
    </row>
    <row r="22" spans="2:25" ht="12.75">
      <c r="B22" s="13">
        <f>RootCalculations!G144</f>
        <v>2.809</v>
      </c>
      <c r="C22" s="106" t="str">
        <f>RootCalculations!C144</f>
        <v>Umpqua Indian Utility Cooperative</v>
      </c>
      <c r="D22" s="105">
        <f>RootCalculations!T144</f>
        <v>33.949064274110405</v>
      </c>
      <c r="E22" s="105">
        <f>RootCalculations!AS144</f>
        <v>35.5763854636149</v>
      </c>
      <c r="F22" s="105">
        <f>RootCalculations!BR144</f>
        <v>34.790963136607154</v>
      </c>
      <c r="G22" s="107">
        <f>RootCalculations!CC144</f>
        <v>35.90132553133049</v>
      </c>
      <c r="H22" s="105">
        <f ca="1">RootCalculations!Z144</f>
        <v>34.90901605903751</v>
      </c>
      <c r="I22" s="105">
        <f ca="1">RootCalculations!AY144</f>
        <v>36.38031310262951</v>
      </c>
      <c r="J22" s="105">
        <f ca="1">RootCalculations!BX144</f>
        <v>35.05800570624853</v>
      </c>
      <c r="K22" s="105">
        <f ca="1">RootCalculations!CG144</f>
        <v>39.30481757441425</v>
      </c>
      <c r="L22" s="13">
        <f ca="1">RootCalculations!V144</f>
        <v>2.5281000000000002</v>
      </c>
      <c r="M22" s="108">
        <f ca="1">RootCalculations!U144</f>
        <v>0.9</v>
      </c>
      <c r="N22" s="58">
        <f t="shared" si="8"/>
        <v>0</v>
      </c>
      <c r="O22" s="58">
        <f t="shared" si="2"/>
        <v>0.04793419860898762</v>
      </c>
      <c r="P22" s="58">
        <f t="shared" si="3"/>
        <v>0.024798882693764845</v>
      </c>
      <c r="Q22" s="58">
        <f t="shared" si="4"/>
        <v>0.05750559842996572</v>
      </c>
      <c r="R22" s="58">
        <v>0</v>
      </c>
      <c r="S22" s="58">
        <f ca="1" t="shared" si="5"/>
        <v>0.0421466202629075</v>
      </c>
      <c r="T22" s="58">
        <f ca="1" t="shared" si="6"/>
        <v>0.0042679417534727815</v>
      </c>
      <c r="U22" s="58">
        <f ca="1" t="shared" si="7"/>
        <v>0.1259216675698518</v>
      </c>
      <c r="W22" s="118" t="str">
        <f>$AA$9&amp;" "&amp;AB8</f>
        <v>End Rollover Tier</v>
      </c>
      <c r="X22" s="13">
        <f ca="1">RootCalculations!Y12</f>
        <v>0</v>
      </c>
      <c r="Y22" s="13" t="str">
        <f ca="1">W22&amp;" 1 Augmentation "&amp;X22&amp;" aMW"</f>
        <v>End Rollover Tier 1 Augmentation 0 aMW</v>
      </c>
    </row>
    <row r="23" spans="2:25" ht="12.75">
      <c r="B23" s="13">
        <f>RootCalculations!G51</f>
        <v>3.031</v>
      </c>
      <c r="C23" s="106" t="str">
        <f>RootCalculations!C51</f>
        <v>Soda Springs, City of</v>
      </c>
      <c r="D23" s="105">
        <f>RootCalculations!T51</f>
        <v>33.949064274110405</v>
      </c>
      <c r="E23" s="105">
        <f>RootCalculations!AS51</f>
        <v>35.5763854636149</v>
      </c>
      <c r="F23" s="105">
        <f>RootCalculations!BR51</f>
        <v>34.790963136607154</v>
      </c>
      <c r="G23" s="107">
        <f>RootCalculations!CC51</f>
        <v>35.90132553133049</v>
      </c>
      <c r="H23" s="105">
        <f ca="1">RootCalculations!Z51</f>
        <v>40.68600885330341</v>
      </c>
      <c r="I23" s="105">
        <f ca="1">RootCalculations!AY51</f>
        <v>36.38031310262951</v>
      </c>
      <c r="J23" s="105">
        <f ca="1">RootCalculations!BX51</f>
        <v>35.05800570624853</v>
      </c>
      <c r="K23" s="105">
        <f ca="1">RootCalculations!CG51</f>
        <v>39.30481757441425</v>
      </c>
      <c r="L23" s="13">
        <f ca="1">RootCalculations!V51</f>
        <v>3.8190600000000003</v>
      </c>
      <c r="M23" s="108">
        <f ca="1">RootCalculations!U51</f>
        <v>1.26</v>
      </c>
      <c r="N23" s="58">
        <f t="shared" si="8"/>
        <v>0</v>
      </c>
      <c r="O23" s="58">
        <f t="shared" si="2"/>
        <v>0.04793419860898762</v>
      </c>
      <c r="P23" s="58">
        <f t="shared" si="3"/>
        <v>0.024798882693764845</v>
      </c>
      <c r="Q23" s="58">
        <f t="shared" si="4"/>
        <v>0.05750559842996572</v>
      </c>
      <c r="R23" s="58">
        <v>0</v>
      </c>
      <c r="S23" s="58">
        <f ca="1" t="shared" si="5"/>
        <v>-0.10582742992064986</v>
      </c>
      <c r="T23" s="58">
        <f ca="1" t="shared" si="6"/>
        <v>-0.1383277275327518</v>
      </c>
      <c r="U23" s="58">
        <f ca="1" t="shared" si="7"/>
        <v>-0.03394757357176903</v>
      </c>
      <c r="W23" s="118" t="str">
        <f>$AA$9&amp;" "&amp;AB9</f>
        <v>End NRU Proposal Tier</v>
      </c>
      <c r="X23" s="13">
        <f ca="1">ROUND(RootCalculations!AX12,0)</f>
        <v>218</v>
      </c>
      <c r="Y23" s="13" t="str">
        <f ca="1">W23&amp;" 1 Augmentation "&amp;X23&amp;" aMW"</f>
        <v>End NRU Proposal Tier 1 Augmentation 218 aMW</v>
      </c>
    </row>
    <row r="24" spans="2:25" ht="12.75">
      <c r="B24" s="13">
        <f>RootCalculations!G59</f>
        <v>3.14</v>
      </c>
      <c r="C24" s="106" t="str">
        <f>RootCalculations!C59</f>
        <v>Columbia Power Coop</v>
      </c>
      <c r="D24" s="105">
        <f>RootCalculations!T59</f>
        <v>33.949064274110405</v>
      </c>
      <c r="E24" s="105">
        <f>RootCalculations!AS59</f>
        <v>35.5763854636149</v>
      </c>
      <c r="F24" s="105">
        <f>RootCalculations!BR59</f>
        <v>34.790963136607154</v>
      </c>
      <c r="G24" s="107">
        <f>RootCalculations!CC59</f>
        <v>35.90132553133049</v>
      </c>
      <c r="H24" s="105">
        <f ca="1">RootCalculations!Z59</f>
        <v>40.23456616454847</v>
      </c>
      <c r="I24" s="105">
        <f ca="1">RootCalculations!AY59</f>
        <v>36.38031310262951</v>
      </c>
      <c r="J24" s="105">
        <f ca="1">RootCalculations!BX59</f>
        <v>35.05800570624853</v>
      </c>
      <c r="K24" s="105">
        <f ca="1">RootCalculations!CG59</f>
        <v>39.30481757441425</v>
      </c>
      <c r="L24" s="13">
        <f ca="1">RootCalculations!V59</f>
        <v>3.9878</v>
      </c>
      <c r="M24" s="108">
        <f ca="1">RootCalculations!U59</f>
        <v>1.27</v>
      </c>
      <c r="N24" s="58">
        <f t="shared" si="8"/>
        <v>0</v>
      </c>
      <c r="O24" s="58">
        <f t="shared" si="2"/>
        <v>0.04793419860898762</v>
      </c>
      <c r="P24" s="58">
        <f t="shared" si="3"/>
        <v>0.024798882693764845</v>
      </c>
      <c r="Q24" s="58">
        <f t="shared" si="4"/>
        <v>0.05750559842996572</v>
      </c>
      <c r="R24" s="58">
        <v>0</v>
      </c>
      <c r="S24" s="58">
        <f ca="1" t="shared" si="5"/>
        <v>-0.09579457241209244</v>
      </c>
      <c r="T24" s="58">
        <f ca="1" t="shared" si="6"/>
        <v>-0.1286595321328733</v>
      </c>
      <c r="U24" s="58">
        <f ca="1" t="shared" si="7"/>
        <v>-0.023108204679821776</v>
      </c>
      <c r="W24" s="118" t="str">
        <f>$AA$9&amp;" "&amp;AB10</f>
        <v>End BPA Jan24 Tier</v>
      </c>
      <c r="X24" s="13">
        <f ca="1">ROUND(RootCalculations!BW12,0)</f>
        <v>0</v>
      </c>
      <c r="Y24" s="13" t="str">
        <f ca="1">W24&amp;" 1 Augmentation "&amp;X24&amp;" aMW"</f>
        <v>End BPA Jan24 Tier 1 Augmentation 0 aMW</v>
      </c>
    </row>
    <row r="25" spans="2:25" ht="12.75">
      <c r="B25" s="13">
        <f>RootCalculations!G68</f>
        <v>3.258</v>
      </c>
      <c r="C25" s="106" t="str">
        <f>RootCalculations!C68</f>
        <v>Eatonville, City of</v>
      </c>
      <c r="D25" s="105">
        <f>RootCalculations!T68</f>
        <v>33.949064274110405</v>
      </c>
      <c r="E25" s="105">
        <f>RootCalculations!AS68</f>
        <v>35.5763854636149</v>
      </c>
      <c r="F25" s="105">
        <f>RootCalculations!BR68</f>
        <v>34.790963136607154</v>
      </c>
      <c r="G25" s="107">
        <f>RootCalculations!CC68</f>
        <v>35.90132553133049</v>
      </c>
      <c r="H25" s="105">
        <f ca="1">RootCalculations!Z68</f>
        <v>37.081185128595095</v>
      </c>
      <c r="I25" s="105">
        <f ca="1">RootCalculations!AY68</f>
        <v>36.38031310262951</v>
      </c>
      <c r="J25" s="105">
        <f ca="1">RootCalculations!BX68</f>
        <v>35.05800570624853</v>
      </c>
      <c r="K25" s="105">
        <f ca="1">RootCalculations!CG68</f>
        <v>39.30481757441425</v>
      </c>
      <c r="L25" s="13">
        <f ca="1">RootCalculations!V68</f>
        <v>3.64896</v>
      </c>
      <c r="M25" s="108">
        <f ca="1">RootCalculations!U68</f>
        <v>1.12</v>
      </c>
      <c r="N25" s="58">
        <f t="shared" si="8"/>
        <v>0</v>
      </c>
      <c r="O25" s="58">
        <f t="shared" si="2"/>
        <v>0.04793419860898762</v>
      </c>
      <c r="P25" s="58">
        <f t="shared" si="3"/>
        <v>0.024798882693764845</v>
      </c>
      <c r="Q25" s="58">
        <f t="shared" si="4"/>
        <v>0.05750559842996572</v>
      </c>
      <c r="R25" s="58">
        <v>0</v>
      </c>
      <c r="S25" s="58">
        <f ca="1" t="shared" si="5"/>
        <v>-0.01890101472040362</v>
      </c>
      <c r="T25" s="58">
        <f ca="1" t="shared" si="6"/>
        <v>-0.054560808003582206</v>
      </c>
      <c r="U25" s="58">
        <f ca="1" t="shared" si="7"/>
        <v>0.05996659594637399</v>
      </c>
      <c r="W25" s="118" t="str">
        <f>$AA$9&amp;" "&amp;AB11</f>
        <v>End Melded</v>
      </c>
      <c r="X25" s="13">
        <f ca="1">ROUND(RootCalculations!CG12,0)</f>
        <v>1112</v>
      </c>
      <c r="Y25" s="13" t="str">
        <f ca="1">W25&amp;" Augmentation "&amp;X25&amp;" aMW"</f>
        <v>End Melded Augmentation 1112 aMW</v>
      </c>
    </row>
    <row r="26" spans="2:21" ht="12.75">
      <c r="B26" s="13">
        <f>RootCalculations!G67</f>
        <v>3.347</v>
      </c>
      <c r="C26" s="106" t="str">
        <f>RootCalculations!C67</f>
        <v>East End Mutual Electric</v>
      </c>
      <c r="D26" s="105">
        <f>RootCalculations!T67</f>
        <v>39.70132527772174</v>
      </c>
      <c r="E26" s="105">
        <f>RootCalculations!AS67</f>
        <v>35.5763854636149</v>
      </c>
      <c r="F26" s="105">
        <f>RootCalculations!BR67</f>
        <v>34.790963136607154</v>
      </c>
      <c r="G26" s="107">
        <f>RootCalculations!CC67</f>
        <v>35.90132553133049</v>
      </c>
      <c r="H26" s="105">
        <f ca="1">RootCalculations!Z67</f>
        <v>45.42623649691744</v>
      </c>
      <c r="I26" s="105">
        <f ca="1">RootCalculations!AY67</f>
        <v>36.38031310262951</v>
      </c>
      <c r="J26" s="105">
        <f ca="1">RootCalculations!BX67</f>
        <v>35.05800570624853</v>
      </c>
      <c r="K26" s="105">
        <f ca="1">RootCalculations!CG67</f>
        <v>39.30481757441425</v>
      </c>
      <c r="L26" s="13">
        <f ca="1">RootCalculations!V67</f>
        <v>4.28416</v>
      </c>
      <c r="M26" s="108">
        <f ca="1">RootCalculations!U67</f>
        <v>1.28</v>
      </c>
      <c r="N26" s="58">
        <f t="shared" si="8"/>
        <v>0</v>
      </c>
      <c r="O26" s="58">
        <f t="shared" si="2"/>
        <v>-0.10389929769980599</v>
      </c>
      <c r="P26" s="58">
        <f t="shared" si="3"/>
        <v>-0.12368257499630675</v>
      </c>
      <c r="Q26" s="58">
        <f t="shared" si="4"/>
        <v>-0.09571468256561211</v>
      </c>
      <c r="R26" s="58">
        <v>0</v>
      </c>
      <c r="S26" s="58">
        <f ca="1" t="shared" si="5"/>
        <v>-0.1991343349542456</v>
      </c>
      <c r="T26" s="58">
        <f ca="1" t="shared" si="6"/>
        <v>-0.2282432266069958</v>
      </c>
      <c r="U26" s="58">
        <f ca="1" t="shared" si="7"/>
        <v>-0.1347551414020085</v>
      </c>
    </row>
    <row r="27" spans="2:24" ht="12.75">
      <c r="B27" s="13">
        <f>RootCalculations!G52</f>
        <v>3.828</v>
      </c>
      <c r="C27" s="106" t="str">
        <f>RootCalculations!C52</f>
        <v>Sumas, Town of</v>
      </c>
      <c r="D27" s="105">
        <f>RootCalculations!T52</f>
        <v>35.358840425962434</v>
      </c>
      <c r="E27" s="105">
        <f>RootCalculations!AS52</f>
        <v>35.5763854636149</v>
      </c>
      <c r="F27" s="105">
        <f>RootCalculations!BR52</f>
        <v>34.790963136607154</v>
      </c>
      <c r="G27" s="107">
        <f>RootCalculations!CC52</f>
        <v>35.90132553133049</v>
      </c>
      <c r="H27" s="105">
        <f ca="1">RootCalculations!Z52</f>
        <v>37.55085672067315</v>
      </c>
      <c r="I27" s="105">
        <f ca="1">RootCalculations!AY52</f>
        <v>36.38031310262951</v>
      </c>
      <c r="J27" s="105">
        <f ca="1">RootCalculations!BX52</f>
        <v>35.05800570624853</v>
      </c>
      <c r="K27" s="105">
        <f ca="1">RootCalculations!CG52</f>
        <v>39.30481757441425</v>
      </c>
      <c r="L27" s="13">
        <f ca="1">RootCalculations!V52</f>
        <v>4.0194</v>
      </c>
      <c r="M27" s="108">
        <f ca="1">RootCalculations!U52</f>
        <v>1.05</v>
      </c>
      <c r="N27" s="58">
        <f t="shared" si="8"/>
        <v>0</v>
      </c>
      <c r="O27" s="58">
        <f t="shared" si="2"/>
        <v>0.006152493549894</v>
      </c>
      <c r="P27" s="58">
        <f t="shared" si="3"/>
        <v>-0.016060404767638037</v>
      </c>
      <c r="Q27" s="58">
        <f t="shared" si="4"/>
        <v>0.015342276467011473</v>
      </c>
      <c r="R27" s="58">
        <v>0</v>
      </c>
      <c r="S27" s="58">
        <f ca="1" t="shared" si="5"/>
        <v>-0.031172221362374852</v>
      </c>
      <c r="T27" s="58">
        <f ca="1" t="shared" si="6"/>
        <v>-0.06638599574353299</v>
      </c>
      <c r="U27" s="58">
        <f ca="1" t="shared" si="7"/>
        <v>0.046708943734311115</v>
      </c>
      <c r="X27" s="53" t="s">
        <v>244</v>
      </c>
    </row>
    <row r="28" spans="2:25" ht="12.75">
      <c r="B28" s="13">
        <f>RootCalculations!G47</f>
        <v>3.874</v>
      </c>
      <c r="C28" s="106" t="str">
        <f>RootCalculations!C47</f>
        <v>Plummer, City of</v>
      </c>
      <c r="D28" s="105">
        <f>RootCalculations!T47</f>
        <v>33.949064274110405</v>
      </c>
      <c r="E28" s="105">
        <f>RootCalculations!AS47</f>
        <v>35.5763854636149</v>
      </c>
      <c r="F28" s="105">
        <f>RootCalculations!BR47</f>
        <v>34.790963136607154</v>
      </c>
      <c r="G28" s="107">
        <f>RootCalculations!CC47</f>
        <v>35.90132553133049</v>
      </c>
      <c r="H28" s="105">
        <f ca="1">RootCalculations!Z47</f>
        <v>41.681182539721945</v>
      </c>
      <c r="I28" s="105">
        <f ca="1">RootCalculations!AY47</f>
        <v>36.38031310262951</v>
      </c>
      <c r="J28" s="105">
        <f ca="1">RootCalculations!BX47</f>
        <v>35.57278280677642</v>
      </c>
      <c r="K28" s="105">
        <f ca="1">RootCalculations!CG47</f>
        <v>39.30481757441425</v>
      </c>
      <c r="L28" s="13">
        <f ca="1">RootCalculations!V47</f>
        <v>5.191160000000001</v>
      </c>
      <c r="M28" s="108">
        <f ca="1">RootCalculations!U47</f>
        <v>1.34</v>
      </c>
      <c r="N28" s="58">
        <f t="shared" si="8"/>
        <v>0</v>
      </c>
      <c r="O28" s="58">
        <f t="shared" si="2"/>
        <v>0.04793419860898762</v>
      </c>
      <c r="P28" s="58">
        <f t="shared" si="3"/>
        <v>0.024798882693764845</v>
      </c>
      <c r="Q28" s="58">
        <f t="shared" si="4"/>
        <v>0.05750559842996572</v>
      </c>
      <c r="R28" s="58">
        <v>0</v>
      </c>
      <c r="S28" s="58">
        <f ca="1" t="shared" si="5"/>
        <v>-0.12717656059879623</v>
      </c>
      <c r="T28" s="58">
        <f ca="1" t="shared" si="6"/>
        <v>-0.14655053817449293</v>
      </c>
      <c r="U28" s="58">
        <f ca="1" t="shared" si="7"/>
        <v>-0.05701289695998979</v>
      </c>
      <c r="W28" s="118" t="str">
        <f>$AA$9&amp;" "&amp;AB8&amp;" Above-RHWM Augmentation"</f>
        <v>End Rollover Tier Above-RHWM Augmentation</v>
      </c>
      <c r="X28" s="13">
        <f ca="1">ROUND(RootCalculations!X14,0)</f>
        <v>1274</v>
      </c>
      <c r="Y28" s="13" t="str">
        <f ca="1">W28&amp;" "&amp;X28&amp;" aMW"</f>
        <v>End Rollover Tier Above-RHWM Augmentation 1274 aMW</v>
      </c>
    </row>
    <row r="29" spans="2:25" ht="12.75">
      <c r="B29" s="13">
        <f>RootCalculations!G146</f>
        <v>4.068</v>
      </c>
      <c r="C29" s="106" t="str">
        <f>RootCalculations!C146</f>
        <v>Kalispel Tribe Utility</v>
      </c>
      <c r="D29" s="105">
        <f>RootCalculations!T146</f>
        <v>33.949064274110405</v>
      </c>
      <c r="E29" s="105">
        <f>RootCalculations!AS146</f>
        <v>35.5763854636149</v>
      </c>
      <c r="F29" s="105">
        <f>RootCalculations!BR146</f>
        <v>34.790963136607154</v>
      </c>
      <c r="G29" s="107">
        <f>RootCalculations!CC146</f>
        <v>35.90132553133049</v>
      </c>
      <c r="H29" s="105">
        <f ca="1">RootCalculations!Z146</f>
        <v>41.224140923764935</v>
      </c>
      <c r="I29" s="105">
        <f ca="1">RootCalculations!AY146</f>
        <v>36.38031310262951</v>
      </c>
      <c r="J29" s="105">
        <f ca="1">RootCalculations!BX146</f>
        <v>35.86968710129836</v>
      </c>
      <c r="K29" s="105">
        <f ca="1">RootCalculations!CG146</f>
        <v>39.30481757441425</v>
      </c>
      <c r="L29" s="13">
        <f ca="1">RootCalculations!V146</f>
        <v>5.247719999999999</v>
      </c>
      <c r="M29" s="108">
        <f ca="1">RootCalculations!U146</f>
        <v>1.29</v>
      </c>
      <c r="N29" s="58">
        <f t="shared" si="8"/>
        <v>0</v>
      </c>
      <c r="O29" s="58">
        <f t="shared" si="2"/>
        <v>0.04793419860898762</v>
      </c>
      <c r="P29" s="58">
        <f t="shared" si="3"/>
        <v>0.024798882693764845</v>
      </c>
      <c r="Q29" s="58">
        <f t="shared" si="4"/>
        <v>0.05750559842996572</v>
      </c>
      <c r="R29" s="58">
        <v>0</v>
      </c>
      <c r="S29" s="58">
        <f ca="1" t="shared" si="5"/>
        <v>-0.11749978805120598</v>
      </c>
      <c r="T29" s="58">
        <f ca="1" t="shared" si="6"/>
        <v>-0.1298863651851101</v>
      </c>
      <c r="U29" s="58">
        <f ca="1" t="shared" si="7"/>
        <v>-0.0465582376331396</v>
      </c>
      <c r="W29" s="118" t="str">
        <f>$AA$9&amp;" "&amp;AC8&amp;" Above-RHWM Augmentation"</f>
        <v>End NRU Proposal Tier Above-RHWM Augmentation</v>
      </c>
      <c r="X29" s="13">
        <f ca="1">ROUND(RootCalculations!AW14,0)</f>
        <v>894</v>
      </c>
      <c r="Y29" s="13" t="str">
        <f ca="1">W29&amp;" "&amp;X29&amp;" aMW"</f>
        <v>End NRU Proposal Tier Above-RHWM Augmentation 894 aMW</v>
      </c>
    </row>
    <row r="30" spans="2:25" ht="12.75">
      <c r="B30" s="13">
        <f>RootCalculations!G32</f>
        <v>4.527</v>
      </c>
      <c r="C30" s="106" t="str">
        <f>RootCalculations!C32</f>
        <v>Cascade Locks, City of</v>
      </c>
      <c r="D30" s="105">
        <f>RootCalculations!T32</f>
        <v>47.7967207518963</v>
      </c>
      <c r="E30" s="105">
        <f>RootCalculations!AS32</f>
        <v>35.5763854636149</v>
      </c>
      <c r="F30" s="105">
        <f>RootCalculations!BR32</f>
        <v>34.790963136607154</v>
      </c>
      <c r="G30" s="107">
        <f>RootCalculations!CC32</f>
        <v>35.90132553133049</v>
      </c>
      <c r="H30" s="105">
        <f ca="1">RootCalculations!Z32</f>
        <v>48.73259845209031</v>
      </c>
      <c r="I30" s="105">
        <f ca="1">RootCalculations!AY32</f>
        <v>36.38031310262951</v>
      </c>
      <c r="J30" s="105">
        <f ca="1">RootCalculations!BX32</f>
        <v>35.05800570624853</v>
      </c>
      <c r="K30" s="105">
        <f ca="1">RootCalculations!CG32</f>
        <v>39.30481757441425</v>
      </c>
      <c r="L30" s="13">
        <f ca="1">RootCalculations!V32</f>
        <v>4.66281</v>
      </c>
      <c r="M30" s="108">
        <f ca="1">RootCalculations!U32</f>
        <v>1.03</v>
      </c>
      <c r="N30" s="58">
        <f t="shared" si="8"/>
        <v>0</v>
      </c>
      <c r="O30" s="58">
        <f t="shared" si="2"/>
        <v>-0.2556730900371773</v>
      </c>
      <c r="P30" s="58">
        <f t="shared" si="3"/>
        <v>-0.2721056468036702</v>
      </c>
      <c r="Q30" s="58">
        <f t="shared" si="4"/>
        <v>-0.24887471427825658</v>
      </c>
      <c r="R30" s="58">
        <v>0</v>
      </c>
      <c r="S30" s="58">
        <f ca="1" t="shared" si="5"/>
        <v>-0.2534706898833745</v>
      </c>
      <c r="T30" s="58">
        <f ca="1" t="shared" si="6"/>
        <v>-0.2806046297589787</v>
      </c>
      <c r="U30" s="58">
        <f ca="1" t="shared" si="7"/>
        <v>-0.19345943325687098</v>
      </c>
      <c r="W30" s="118" t="str">
        <f>$AA$9&amp;" "&amp;AD8&amp;" Above-RHWM Augmentation"</f>
        <v>End BPA Jan24 Tier Above-RHWM Augmentation</v>
      </c>
      <c r="X30" s="13">
        <f ca="1">ROUND(RootCalculations!BV14,0)</f>
        <v>1237</v>
      </c>
      <c r="Y30" s="13" t="str">
        <f ca="1">W30&amp;" "&amp;X30&amp;" aMW"</f>
        <v>End BPA Jan24 Tier Above-RHWM Augmentation 1237 aMW</v>
      </c>
    </row>
    <row r="31" spans="2:25" ht="12.75">
      <c r="B31" s="13">
        <f>RootCalculations!G130</f>
        <v>4.611</v>
      </c>
      <c r="C31" s="106" t="str">
        <f>RootCalculations!C130</f>
        <v>Steilacoom, Town of</v>
      </c>
      <c r="D31" s="105">
        <f>RootCalculations!T130</f>
        <v>33.949064274110405</v>
      </c>
      <c r="E31" s="105">
        <f>RootCalculations!AS130</f>
        <v>35.5763854636149</v>
      </c>
      <c r="F31" s="105">
        <f>RootCalculations!BR130</f>
        <v>34.790963136607154</v>
      </c>
      <c r="G31" s="107">
        <f>RootCalculations!CC130</f>
        <v>35.90132553133049</v>
      </c>
      <c r="H31" s="105">
        <f ca="1">RootCalculations!Z130</f>
        <v>41.803863918960694</v>
      </c>
      <c r="I31" s="105">
        <f ca="1">RootCalculations!AY130</f>
        <v>40.767842195840366</v>
      </c>
      <c r="J31" s="105">
        <f ca="1">RootCalculations!BX130</f>
        <v>40.646643595690435</v>
      </c>
      <c r="K31" s="105">
        <f ca="1">RootCalculations!CG130</f>
        <v>39.30481757441425</v>
      </c>
      <c r="L31" s="13">
        <f ca="1">RootCalculations!V130</f>
        <v>6.363179999999999</v>
      </c>
      <c r="M31" s="108">
        <f ca="1">RootCalculations!U130</f>
        <v>1.38</v>
      </c>
      <c r="N31" s="58">
        <f t="shared" si="8"/>
        <v>0</v>
      </c>
      <c r="O31" s="58">
        <f t="shared" si="2"/>
        <v>0.04793419860898762</v>
      </c>
      <c r="P31" s="58">
        <f t="shared" si="3"/>
        <v>0.024798882693764845</v>
      </c>
      <c r="Q31" s="58">
        <f t="shared" si="4"/>
        <v>0.05750559842996572</v>
      </c>
      <c r="R31" s="58">
        <v>0</v>
      </c>
      <c r="S31" s="58">
        <f ca="1" t="shared" si="5"/>
        <v>-0.024782917797472437</v>
      </c>
      <c r="T31" s="58">
        <f ca="1" t="shared" si="6"/>
        <v>-0.027682137840501997</v>
      </c>
      <c r="U31" s="58">
        <f ca="1" t="shared" si="7"/>
        <v>-0.059780271732560286</v>
      </c>
      <c r="W31" s="118" t="str">
        <f>$AA$9&amp;" "&amp;AE8&amp;" Above-RHWM Augmentation"</f>
        <v>End Melded Above-RHWM Augmentation</v>
      </c>
      <c r="X31" s="119" t="s">
        <v>245</v>
      </c>
      <c r="Y31" s="13" t="str">
        <f>W31&amp;" "&amp;X31&amp;" aMW"</f>
        <v>End Melded Above-RHWM Augmentation N/A aMW</v>
      </c>
    </row>
    <row r="32" spans="2:21" ht="12.75">
      <c r="B32" s="13">
        <f>RootCalculations!G41</f>
        <v>4.809</v>
      </c>
      <c r="C32" s="106" t="str">
        <f>RootCalculations!C41</f>
        <v>McCleary, City of</v>
      </c>
      <c r="D32" s="105">
        <f>RootCalculations!T41</f>
        <v>40.56696630716209</v>
      </c>
      <c r="E32" s="105">
        <f>RootCalculations!AS41</f>
        <v>35.5763854636149</v>
      </c>
      <c r="F32" s="105">
        <f>RootCalculations!BR41</f>
        <v>34.790963136607154</v>
      </c>
      <c r="G32" s="107">
        <f>RootCalculations!CC41</f>
        <v>35.90132553133049</v>
      </c>
      <c r="H32" s="105">
        <f ca="1">RootCalculations!Z41</f>
        <v>46.47048655709182</v>
      </c>
      <c r="I32" s="105">
        <f ca="1">RootCalculations!AY41</f>
        <v>38.07751330789354</v>
      </c>
      <c r="J32" s="105">
        <f ca="1">RootCalculations!BX41</f>
        <v>39.179984227913074</v>
      </c>
      <c r="K32" s="105">
        <f ca="1">RootCalculations!CG41</f>
        <v>39.30481757441425</v>
      </c>
      <c r="L32" s="13">
        <f ca="1">RootCalculations!V41</f>
        <v>6.299790000000001</v>
      </c>
      <c r="M32" s="108">
        <f ca="1">RootCalculations!U41</f>
        <v>1.31</v>
      </c>
      <c r="N32" s="58">
        <f t="shared" si="8"/>
        <v>0</v>
      </c>
      <c r="O32" s="58">
        <f t="shared" si="2"/>
        <v>-0.12302080480358979</v>
      </c>
      <c r="P32" s="58">
        <f t="shared" si="3"/>
        <v>-0.14238193526280973</v>
      </c>
      <c r="Q32" s="58">
        <f t="shared" si="4"/>
        <v>-0.115010837648165</v>
      </c>
      <c r="R32" s="58">
        <v>0</v>
      </c>
      <c r="S32" s="58">
        <f ca="1" t="shared" si="5"/>
        <v>-0.18060868028328048</v>
      </c>
      <c r="T32" s="58">
        <f ca="1" t="shared" si="6"/>
        <v>-0.15688457060207273</v>
      </c>
      <c r="U32" s="58">
        <f ca="1" t="shared" si="7"/>
        <v>-0.1541982775212415</v>
      </c>
    </row>
    <row r="33" spans="2:25" ht="12.75">
      <c r="B33" s="13">
        <f>RootCalculations!G139</f>
        <v>5.268</v>
      </c>
      <c r="C33" s="106" t="str">
        <f>RootCalculations!C139</f>
        <v>Wahkiakum County PUD #1</v>
      </c>
      <c r="D33" s="105">
        <f>RootCalculations!T139</f>
        <v>35.405396107046805</v>
      </c>
      <c r="E33" s="105">
        <f>RootCalculations!AS139</f>
        <v>35.5763854636149</v>
      </c>
      <c r="F33" s="105">
        <f>RootCalculations!BR139</f>
        <v>35.32850854592682</v>
      </c>
      <c r="G33" s="107">
        <f>RootCalculations!CC139</f>
        <v>35.90132553133049</v>
      </c>
      <c r="H33" s="105">
        <f ca="1">RootCalculations!Z139</f>
        <v>43.837570641730274</v>
      </c>
      <c r="I33" s="105">
        <f ca="1">RootCalculations!AY139</f>
        <v>43.16598083286618</v>
      </c>
      <c r="J33" s="105">
        <f ca="1">RootCalculations!BX139</f>
        <v>43.31459278026661</v>
      </c>
      <c r="K33" s="105">
        <f ca="1">RootCalculations!CG139</f>
        <v>39.30481757441425</v>
      </c>
      <c r="L33" s="13">
        <f ca="1">RootCalculations!V139</f>
        <v>7.322519999999999</v>
      </c>
      <c r="M33" s="108">
        <f ca="1">RootCalculations!U139</f>
        <v>1.39</v>
      </c>
      <c r="N33" s="58">
        <f t="shared" si="8"/>
        <v>0</v>
      </c>
      <c r="O33" s="58">
        <f t="shared" si="2"/>
        <v>0.004829471644692607</v>
      </c>
      <c r="P33" s="58">
        <f t="shared" si="3"/>
        <v>-0.0021716339760050607</v>
      </c>
      <c r="Q33" s="58">
        <f t="shared" si="4"/>
        <v>0.014007170624055876</v>
      </c>
      <c r="R33" s="58">
        <v>0</v>
      </c>
      <c r="S33" s="58">
        <f ca="1" t="shared" si="5"/>
        <v>-0.015319959546863826</v>
      </c>
      <c r="T33" s="58">
        <f ca="1" t="shared" si="6"/>
        <v>-0.011929900626514778</v>
      </c>
      <c r="U33" s="58">
        <f ca="1" t="shared" si="7"/>
        <v>-0.10339881980141397</v>
      </c>
      <c r="X33" s="53" t="s">
        <v>229</v>
      </c>
      <c r="Y33" s="53" t="s">
        <v>249</v>
      </c>
    </row>
    <row r="34" spans="2:26" ht="12.75">
      <c r="B34" s="13">
        <f>RootCalculations!G73</f>
        <v>5.302</v>
      </c>
      <c r="C34" s="106" t="str">
        <f>RootCalculations!C73</f>
        <v>U.S. Airforce Base, Fairchild</v>
      </c>
      <c r="D34" s="105">
        <f>RootCalculations!T73</f>
        <v>33.949064274110405</v>
      </c>
      <c r="E34" s="105">
        <f>RootCalculations!AS73</f>
        <v>35.5763854636149</v>
      </c>
      <c r="F34" s="105">
        <f>RootCalculations!BR73</f>
        <v>34.790963136607154</v>
      </c>
      <c r="G34" s="107">
        <f>RootCalculations!CC73</f>
        <v>35.90132553133049</v>
      </c>
      <c r="H34" s="105">
        <f ca="1">RootCalculations!Z73</f>
        <v>34.90901605903751</v>
      </c>
      <c r="I34" s="105">
        <f ca="1">RootCalculations!AY73</f>
        <v>37.259853909768644</v>
      </c>
      <c r="J34" s="105">
        <f ca="1">RootCalculations!BX73</f>
        <v>37.119634180950094</v>
      </c>
      <c r="K34" s="105">
        <f ca="1">RootCalculations!CG73</f>
        <v>39.30481757441425</v>
      </c>
      <c r="L34" s="13">
        <f ca="1">RootCalculations!V73</f>
        <v>5.8322</v>
      </c>
      <c r="M34" s="108">
        <f ca="1">RootCalculations!U73</f>
        <v>1.1</v>
      </c>
      <c r="N34" s="58">
        <f t="shared" si="8"/>
        <v>0</v>
      </c>
      <c r="O34" s="58">
        <f t="shared" si="2"/>
        <v>0.04793419860898762</v>
      </c>
      <c r="P34" s="58">
        <f t="shared" si="3"/>
        <v>0.024798882693764845</v>
      </c>
      <c r="Q34" s="58">
        <f t="shared" si="4"/>
        <v>0.05750559842996572</v>
      </c>
      <c r="R34" s="58">
        <v>0</v>
      </c>
      <c r="S34" s="58">
        <f ca="1" t="shared" si="5"/>
        <v>0.06734185365624268</v>
      </c>
      <c r="T34" s="58">
        <f ca="1" t="shared" si="6"/>
        <v>0.06332513406204354</v>
      </c>
      <c r="U34" s="58">
        <f ca="1" t="shared" si="7"/>
        <v>0.1259216675698518</v>
      </c>
      <c r="W34" s="118" t="str">
        <f>$AA$9&amp;" "&amp;AB8</f>
        <v>End Rollover Tier</v>
      </c>
      <c r="X34" s="57">
        <f ca="1">ROUND(RootCalculations!Y10,0)</f>
        <v>162</v>
      </c>
      <c r="Y34" s="13">
        <f ca="1">ROUND(RootCalculations!Y14,0)</f>
        <v>162</v>
      </c>
      <c r="Z34" s="13" t="str">
        <f ca="1">W34&amp;" Surplus "&amp;X34&amp;" aMW | Above-RHWM "&amp;X28&amp;" aMW | "&amp;"Unused "&amp;Y34&amp;" aMW"</f>
        <v>End Rollover Tier Surplus 162 aMW | Above-RHWM 1274 aMW | Unused 162 aMW</v>
      </c>
    </row>
    <row r="35" spans="2:26" ht="12.75">
      <c r="B35" s="13">
        <f>RootCalculations!G149</f>
        <v>6.546</v>
      </c>
      <c r="C35" s="106" t="str">
        <f>RootCalculations!C149</f>
        <v>Weiser, City of</v>
      </c>
      <c r="D35" s="105">
        <f>RootCalculations!T149</f>
        <v>34.91608123905359</v>
      </c>
      <c r="E35" s="105">
        <f>RootCalculations!AS149</f>
        <v>35.5763854636149</v>
      </c>
      <c r="F35" s="105">
        <f>RootCalculations!BR149</f>
        <v>34.96527601538891</v>
      </c>
      <c r="G35" s="107">
        <f>RootCalculations!CC149</f>
        <v>35.90132553133049</v>
      </c>
      <c r="H35" s="105">
        <f ca="1">RootCalculations!Z149</f>
        <v>34.90901605903751</v>
      </c>
      <c r="I35" s="105">
        <f ca="1">RootCalculations!AY149</f>
        <v>36.38031310262951</v>
      </c>
      <c r="J35" s="105">
        <f ca="1">RootCalculations!BX149</f>
        <v>35.05800570624853</v>
      </c>
      <c r="K35" s="105">
        <f ca="1">RootCalculations!CG149</f>
        <v>39.30481757441425</v>
      </c>
      <c r="L35" s="13">
        <f ca="1">RootCalculations!V149</f>
        <v>6.2187</v>
      </c>
      <c r="M35" s="108">
        <f ca="1">RootCalculations!U149</f>
        <v>0.95</v>
      </c>
      <c r="N35" s="58">
        <f t="shared" si="8"/>
        <v>0</v>
      </c>
      <c r="O35" s="58">
        <f t="shared" si="2"/>
        <v>0.018911177919438416</v>
      </c>
      <c r="P35" s="58">
        <f t="shared" si="3"/>
        <v>0.0014089432315873562</v>
      </c>
      <c r="Q35" s="58">
        <f t="shared" si="4"/>
        <v>0.028217493410311656</v>
      </c>
      <c r="R35" s="58">
        <v>0</v>
      </c>
      <c r="S35" s="58">
        <f ca="1" t="shared" si="5"/>
        <v>0.0421466202629075</v>
      </c>
      <c r="T35" s="58">
        <f ca="1" t="shared" si="6"/>
        <v>0.0042679417534727815</v>
      </c>
      <c r="U35" s="58">
        <f ca="1" t="shared" si="7"/>
        <v>0.1259216675698518</v>
      </c>
      <c r="W35" s="118" t="str">
        <f>$AA$9&amp;" "&amp;AB9</f>
        <v>End NRU Proposal Tier</v>
      </c>
      <c r="X35" s="55">
        <f ca="1">ROUND(RootCalculations!AX10,0)</f>
        <v>0</v>
      </c>
      <c r="Y35" s="13">
        <f ca="1">ROUND(RootCalculations!AX14,0)</f>
        <v>219</v>
      </c>
      <c r="Z35" s="13" t="str">
        <f aca="true" t="shared" si="9" ref="Z35:Z37">W35&amp;" Surplus "&amp;X35&amp;" aMW | Above-RHWM "&amp;X29&amp;" aMW | "&amp;"Unused "&amp;Y35&amp;" aMW"</f>
        <v>End NRU Proposal Tier Surplus 0 aMW | Above-RHWM 894 aMW | Unused 219 aMW</v>
      </c>
    </row>
    <row r="36" spans="2:26" ht="12.75">
      <c r="B36" s="13">
        <f>RootCalculations!G43</f>
        <v>6.61</v>
      </c>
      <c r="C36" s="106" t="str">
        <f>RootCalculations!C43</f>
        <v>Milton, Town of</v>
      </c>
      <c r="D36" s="105">
        <f>RootCalculations!T43</f>
        <v>33.949064274110405</v>
      </c>
      <c r="E36" s="105">
        <f>RootCalculations!AS43</f>
        <v>35.5763854636149</v>
      </c>
      <c r="F36" s="105">
        <f>RootCalculations!BR43</f>
        <v>34.790963136607154</v>
      </c>
      <c r="G36" s="107">
        <f>RootCalculations!CC43</f>
        <v>35.90132553133049</v>
      </c>
      <c r="H36" s="105">
        <f ca="1">RootCalculations!Z43</f>
        <v>38.127434742285246</v>
      </c>
      <c r="I36" s="105">
        <f ca="1">RootCalculations!AY43</f>
        <v>40.72144826830355</v>
      </c>
      <c r="J36" s="105">
        <f ca="1">RootCalculations!BX43</f>
        <v>40.599998109484325</v>
      </c>
      <c r="K36" s="105">
        <f ca="1">RootCalculations!CG43</f>
        <v>39.30481757441425</v>
      </c>
      <c r="L36" s="13">
        <f ca="1">RootCalculations!V43</f>
        <v>8.3947</v>
      </c>
      <c r="M36" s="108">
        <f ca="1">RootCalculations!U43</f>
        <v>1.27</v>
      </c>
      <c r="N36" s="58">
        <f t="shared" si="8"/>
        <v>0</v>
      </c>
      <c r="O36" s="58">
        <f t="shared" si="2"/>
        <v>0.04793419860898762</v>
      </c>
      <c r="P36" s="58">
        <f t="shared" si="3"/>
        <v>0.024798882693764845</v>
      </c>
      <c r="Q36" s="58">
        <f t="shared" si="4"/>
        <v>0.05750559842996572</v>
      </c>
      <c r="R36" s="58">
        <v>0</v>
      </c>
      <c r="S36" s="58">
        <f ca="1" t="shared" si="5"/>
        <v>0.06803535416300677</v>
      </c>
      <c r="T36" s="58">
        <f ca="1" t="shared" si="6"/>
        <v>0.06484997965144723</v>
      </c>
      <c r="U36" s="58">
        <f ca="1" t="shared" si="7"/>
        <v>0.03088020057177432</v>
      </c>
      <c r="W36" s="118" t="str">
        <f>$AA$9&amp;" "&amp;AB10</f>
        <v>End BPA Jan24 Tier</v>
      </c>
      <c r="X36" s="55">
        <f ca="1">ROUND(RootCalculations!BW10,0)</f>
        <v>125</v>
      </c>
      <c r="Y36" s="13">
        <f ca="1">ROUND(RootCalculations!BW14,0)</f>
        <v>125</v>
      </c>
      <c r="Z36" s="13" t="str">
        <f ca="1" t="shared" si="9"/>
        <v>End BPA Jan24 Tier Surplus 125 aMW | Above-RHWM 1237 aMW | Unused 125 aMW</v>
      </c>
    </row>
    <row r="37" spans="2:26" ht="12.75">
      <c r="B37" s="13">
        <f>RootCalculations!G84</f>
        <v>6.775</v>
      </c>
      <c r="C37" s="106" t="str">
        <f>RootCalculations!C84</f>
        <v>Idaho County L &amp; P</v>
      </c>
      <c r="D37" s="105">
        <f>RootCalculations!T84</f>
        <v>36.368852595579035</v>
      </c>
      <c r="E37" s="105">
        <f>RootCalculations!AS84</f>
        <v>35.5763854636149</v>
      </c>
      <c r="F37" s="105">
        <f>RootCalculations!BR84</f>
        <v>36.04371006806325</v>
      </c>
      <c r="G37" s="107">
        <f>RootCalculations!CC84</f>
        <v>35.90132553133049</v>
      </c>
      <c r="H37" s="105">
        <f ca="1">RootCalculations!Z84</f>
        <v>35.30190799108044</v>
      </c>
      <c r="I37" s="105">
        <f ca="1">RootCalculations!AY84</f>
        <v>36.38031310262951</v>
      </c>
      <c r="J37" s="105">
        <f ca="1">RootCalculations!BX84</f>
        <v>35.05800570624853</v>
      </c>
      <c r="K37" s="105">
        <f ca="1">RootCalculations!CG84</f>
        <v>39.30481757441425</v>
      </c>
      <c r="L37" s="13">
        <f ca="1">RootCalculations!V84</f>
        <v>6.300750000000001</v>
      </c>
      <c r="M37" s="108">
        <f ca="1">RootCalculations!U84</f>
        <v>0.93</v>
      </c>
      <c r="N37" s="58">
        <f t="shared" si="8"/>
        <v>0</v>
      </c>
      <c r="O37" s="58">
        <f t="shared" si="2"/>
        <v>-0.021789720472525143</v>
      </c>
      <c r="P37" s="58">
        <f t="shared" si="3"/>
        <v>-0.008940137076397958</v>
      </c>
      <c r="Q37" s="58">
        <f t="shared" si="4"/>
        <v>-0.012855150242088609</v>
      </c>
      <c r="R37" s="58">
        <v>0</v>
      </c>
      <c r="S37" s="58">
        <f ca="1" t="shared" si="5"/>
        <v>0.030548068728226907</v>
      </c>
      <c r="T37" s="58">
        <f ca="1" t="shared" si="6"/>
        <v>-0.006909039729340871</v>
      </c>
      <c r="U37" s="58">
        <f ca="1" t="shared" si="7"/>
        <v>0.1133907431956711</v>
      </c>
      <c r="W37" s="118" t="str">
        <f>$AA$9&amp;" "&amp;AB11</f>
        <v>End Melded</v>
      </c>
      <c r="X37" s="13">
        <f ca="1">ROUND(RootCalculations!CG10,0)</f>
        <v>0</v>
      </c>
      <c r="Y37" s="119" t="s">
        <v>245</v>
      </c>
      <c r="Z37" s="13" t="str">
        <f ca="1" t="shared" si="9"/>
        <v>End Melded Surplus 0 aMW | Above-RHWM N/A aMW | Unused N/A aMW</v>
      </c>
    </row>
    <row r="38" spans="2:21" ht="12.75">
      <c r="B38" s="13">
        <f>RootCalculations!G30</f>
        <v>7.209</v>
      </c>
      <c r="C38" s="106" t="str">
        <f>RootCalculations!C30</f>
        <v>Bonners Ferry, City of</v>
      </c>
      <c r="D38" s="105">
        <f>RootCalculations!T30</f>
        <v>41.592828677800995</v>
      </c>
      <c r="E38" s="105">
        <f>RootCalculations!AS30</f>
        <v>37.65758094138193</v>
      </c>
      <c r="F38" s="105">
        <f>RootCalculations!BR30</f>
        <v>39.92161808994111</v>
      </c>
      <c r="G38" s="107">
        <f>RootCalculations!CC30</f>
        <v>35.90132553133049</v>
      </c>
      <c r="H38" s="105">
        <f ca="1">RootCalculations!Z30</f>
        <v>42.709451833639264</v>
      </c>
      <c r="I38" s="105">
        <f ca="1">RootCalculations!AY30</f>
        <v>38.885454714765615</v>
      </c>
      <c r="J38" s="105">
        <f ca="1">RootCalculations!BX30</f>
        <v>40.59087915610238</v>
      </c>
      <c r="K38" s="105">
        <f ca="1">RootCalculations!CG30</f>
        <v>39.30481757441425</v>
      </c>
      <c r="L38" s="13">
        <f ca="1">RootCalculations!V30</f>
        <v>7.35318</v>
      </c>
      <c r="M38" s="108">
        <f ca="1">RootCalculations!U30</f>
        <v>1.02</v>
      </c>
      <c r="N38" s="58">
        <f t="shared" si="8"/>
        <v>0</v>
      </c>
      <c r="O38" s="58">
        <f t="shared" si="2"/>
        <v>-0.09461361156519255</v>
      </c>
      <c r="P38" s="58">
        <f t="shared" si="3"/>
        <v>-0.040180258015292014</v>
      </c>
      <c r="Q38" s="58">
        <f t="shared" si="4"/>
        <v>-0.13683856874846756</v>
      </c>
      <c r="R38" s="58">
        <v>0</v>
      </c>
      <c r="S38" s="58">
        <f ca="1" t="shared" si="5"/>
        <v>-0.08953514865441925</v>
      </c>
      <c r="T38" s="58">
        <f ca="1" t="shared" si="6"/>
        <v>-0.04960430505615221</v>
      </c>
      <c r="U38" s="58">
        <f ca="1" t="shared" si="7"/>
        <v>-0.0797161778729133</v>
      </c>
    </row>
    <row r="39" spans="2:21" ht="12.75">
      <c r="B39" s="13">
        <f>RootCalculations!G80</f>
        <v>7.415</v>
      </c>
      <c r="C39" s="106" t="str">
        <f>RootCalculations!C80</f>
        <v>Grant County PUD #2</v>
      </c>
      <c r="D39" s="105">
        <f>RootCalculations!T80</f>
        <v>42.694443925985325</v>
      </c>
      <c r="E39" s="105">
        <f>RootCalculations!AS80</f>
        <v>38.17528713727868</v>
      </c>
      <c r="F39" s="105">
        <f>RootCalculations!BR80</f>
        <v>40.70433459122677</v>
      </c>
      <c r="G39" s="107">
        <f>RootCalculations!CC80</f>
        <v>35.90132553133049</v>
      </c>
      <c r="H39" s="105">
        <f ca="1">RootCalculations!Z80</f>
        <v>47.317283493299826</v>
      </c>
      <c r="I39" s="105">
        <f ca="1">RootCalculations!AY80</f>
        <v>43.74668758850503</v>
      </c>
      <c r="J39" s="105">
        <f ca="1">RootCalculations!BX80</f>
        <v>45.356507994961866</v>
      </c>
      <c r="K39" s="105">
        <f ca="1">RootCalculations!CG80</f>
        <v>39.30481757441425</v>
      </c>
      <c r="L39" s="13">
        <f ca="1">RootCalculations!V80</f>
        <v>9.26875</v>
      </c>
      <c r="M39" s="108">
        <f ca="1">RootCalculations!U80</f>
        <v>1.25</v>
      </c>
      <c r="N39" s="58">
        <f t="shared" si="8"/>
        <v>0</v>
      </c>
      <c r="O39" s="58">
        <f aca="true" t="shared" si="10" ref="O39:O70">E39/$D39-1</f>
        <v>-0.10584882652508631</v>
      </c>
      <c r="P39" s="58">
        <f aca="true" t="shared" si="11" ref="P39:P70">F39/$D39-1</f>
        <v>-0.046612841197992694</v>
      </c>
      <c r="Q39" s="58">
        <f aca="true" t="shared" si="12" ref="Q39:Q70">G39/$D39-1</f>
        <v>-0.15911012698587468</v>
      </c>
      <c r="R39" s="58">
        <v>0</v>
      </c>
      <c r="S39" s="58">
        <f aca="true" t="shared" si="13" ref="S39:S70">I39/$H39-1</f>
        <v>-0.07546071205250815</v>
      </c>
      <c r="T39" s="58">
        <f aca="true" t="shared" si="14" ref="T39:T70">J39/$H39-1</f>
        <v>-0.04143888561598441</v>
      </c>
      <c r="U39" s="58">
        <f aca="true" t="shared" si="15" ref="U39:U70">K39/$H39-1</f>
        <v>-0.16933486724824653</v>
      </c>
    </row>
    <row r="40" spans="2:21" ht="12.75">
      <c r="B40" s="13">
        <f>RootCalculations!G28</f>
        <v>7.599</v>
      </c>
      <c r="C40" s="106" t="str">
        <f>RootCalculations!C28</f>
        <v>Bandon, City of</v>
      </c>
      <c r="D40" s="105">
        <f>RootCalculations!T28</f>
        <v>33.949064274110405</v>
      </c>
      <c r="E40" s="105">
        <f>RootCalculations!AS28</f>
        <v>35.5763854636149</v>
      </c>
      <c r="F40" s="105">
        <f>RootCalculations!BR28</f>
        <v>34.790963136607154</v>
      </c>
      <c r="G40" s="107">
        <f>RootCalculations!CC28</f>
        <v>35.90132553133049</v>
      </c>
      <c r="H40" s="105">
        <f ca="1">RootCalculations!Z28</f>
        <v>38.24326110256746</v>
      </c>
      <c r="I40" s="105">
        <f ca="1">RootCalculations!AY28</f>
        <v>38.1672274567943</v>
      </c>
      <c r="J40" s="105">
        <f ca="1">RootCalculations!BX28</f>
        <v>38.03192771846061</v>
      </c>
      <c r="K40" s="105">
        <f ca="1">RootCalculations!CG28</f>
        <v>39.30481757441425</v>
      </c>
      <c r="L40" s="13">
        <f ca="1">RootCalculations!V28</f>
        <v>8.66286</v>
      </c>
      <c r="M40" s="108">
        <f ca="1">RootCalculations!U28</f>
        <v>1.14</v>
      </c>
      <c r="N40" s="58">
        <f t="shared" si="8"/>
        <v>0</v>
      </c>
      <c r="O40" s="58">
        <f t="shared" si="10"/>
        <v>0.04793419860898762</v>
      </c>
      <c r="P40" s="58">
        <f t="shared" si="11"/>
        <v>0.024798882693764845</v>
      </c>
      <c r="Q40" s="58">
        <f t="shared" si="12"/>
        <v>0.05750559842996572</v>
      </c>
      <c r="R40" s="58">
        <v>0</v>
      </c>
      <c r="S40" s="58">
        <f ca="1" t="shared" si="13"/>
        <v>-0.0019881580069555094</v>
      </c>
      <c r="T40" s="58">
        <f ca="1" t="shared" si="14"/>
        <v>-0.005526029371293983</v>
      </c>
      <c r="U40" s="58">
        <f ca="1" t="shared" si="15"/>
        <v>0.027758000788680848</v>
      </c>
    </row>
    <row r="41" spans="2:24" ht="12.75">
      <c r="B41" s="13">
        <f>RootCalculations!G123</f>
        <v>7.761</v>
      </c>
      <c r="C41" s="106" t="str">
        <f>RootCalculations!C123</f>
        <v>Southside Elec Lines</v>
      </c>
      <c r="D41" s="105">
        <f>RootCalculations!T123</f>
        <v>37.69268648555043</v>
      </c>
      <c r="E41" s="105">
        <f>RootCalculations!AS123</f>
        <v>35.69878877596469</v>
      </c>
      <c r="F41" s="105">
        <f>RootCalculations!BR123</f>
        <v>37.02643012281708</v>
      </c>
      <c r="G41" s="107">
        <f>RootCalculations!CC123</f>
        <v>35.90132553133049</v>
      </c>
      <c r="H41" s="105">
        <f ca="1">RootCalculations!Z123</f>
        <v>35.79715982181403</v>
      </c>
      <c r="I41" s="105">
        <f ca="1">RootCalculations!AY123</f>
        <v>36.38031310262951</v>
      </c>
      <c r="J41" s="105">
        <f ca="1">RootCalculations!BX123</f>
        <v>35.05800570624853</v>
      </c>
      <c r="K41" s="105">
        <f ca="1">RootCalculations!CG123</f>
        <v>39.30481757441425</v>
      </c>
      <c r="L41" s="13">
        <f ca="1">RootCalculations!V123</f>
        <v>6.9849000000000006</v>
      </c>
      <c r="M41" s="108">
        <f ca="1">RootCalculations!U123</f>
        <v>0.9</v>
      </c>
      <c r="N41" s="58">
        <f t="shared" si="8"/>
        <v>0</v>
      </c>
      <c r="O41" s="58">
        <f t="shared" si="10"/>
        <v>-0.05289879537639508</v>
      </c>
      <c r="P41" s="58">
        <f t="shared" si="11"/>
        <v>-0.017676011578234396</v>
      </c>
      <c r="Q41" s="58">
        <f t="shared" si="12"/>
        <v>-0.047525425254755005</v>
      </c>
      <c r="R41" s="58">
        <v>0</v>
      </c>
      <c r="S41" s="58">
        <f ca="1" t="shared" si="13"/>
        <v>0.016290490187439888</v>
      </c>
      <c r="T41" s="58">
        <f ca="1" t="shared" si="14"/>
        <v>-0.02064840113698274</v>
      </c>
      <c r="U41" s="58">
        <f ca="1" t="shared" si="15"/>
        <v>0.09798704059372709</v>
      </c>
      <c r="W41" s="118"/>
      <c r="X41" s="53" t="s">
        <v>242</v>
      </c>
    </row>
    <row r="42" spans="2:25" ht="12.75">
      <c r="B42" s="13">
        <f>RootCalculations!G106</f>
        <v>7.82</v>
      </c>
      <c r="C42" s="106" t="str">
        <f>RootCalculations!C106</f>
        <v>Okanogan County Elec Coop</v>
      </c>
      <c r="D42" s="105">
        <f>RootCalculations!T106</f>
        <v>38.764879877962514</v>
      </c>
      <c r="E42" s="105">
        <f>RootCalculations!AS106</f>
        <v>36.23728299318629</v>
      </c>
      <c r="F42" s="105">
        <f>RootCalculations!BR106</f>
        <v>37.82235018293932</v>
      </c>
      <c r="G42" s="107">
        <f>RootCalculations!CC106</f>
        <v>35.90132553133049</v>
      </c>
      <c r="H42" s="105">
        <f ca="1">RootCalculations!Z106</f>
        <v>40.472263162681486</v>
      </c>
      <c r="I42" s="105">
        <f ca="1">RootCalculations!AY106</f>
        <v>38.02569300403288</v>
      </c>
      <c r="J42" s="105">
        <f ca="1">RootCalculations!BX106</f>
        <v>39.02463221144713</v>
      </c>
      <c r="K42" s="105">
        <f ca="1">RootCalculations!CG106</f>
        <v>39.30481757441425</v>
      </c>
      <c r="L42" s="13">
        <f ca="1">RootCalculations!V106</f>
        <v>8.132800000000001</v>
      </c>
      <c r="M42" s="108">
        <f ca="1">RootCalculations!U106</f>
        <v>1.04</v>
      </c>
      <c r="N42" s="58">
        <f t="shared" si="8"/>
        <v>0</v>
      </c>
      <c r="O42" s="58">
        <f t="shared" si="10"/>
        <v>-0.06520326885401084</v>
      </c>
      <c r="P42" s="58">
        <f t="shared" si="11"/>
        <v>-0.024314010464895452</v>
      </c>
      <c r="Q42" s="58">
        <f t="shared" si="12"/>
        <v>-0.07386981091252975</v>
      </c>
      <c r="R42" s="58">
        <v>0</v>
      </c>
      <c r="S42" s="58">
        <f ca="1" t="shared" si="13"/>
        <v>-0.060450539887389576</v>
      </c>
      <c r="T42" s="58">
        <f ca="1" t="shared" si="14"/>
        <v>-0.03576847050572618</v>
      </c>
      <c r="U42" s="58">
        <f ca="1" t="shared" si="15"/>
        <v>-0.02884557217802708</v>
      </c>
      <c r="W42" s="118" t="str">
        <f>$AA$8&amp;" "&amp;AB8</f>
        <v>Start Rollover Tier</v>
      </c>
      <c r="X42" s="13">
        <f>ROUND(RootCalculations!S12,0)</f>
        <v>0</v>
      </c>
      <c r="Y42" s="13" t="str">
        <f>W42&amp;" Augmentation "&amp;X42&amp;" aMW"&amp;" | Max $"&amp;X50&amp;"/MWh"&amp;" | Min $"&amp;Y50&amp;"/MWh"</f>
        <v>Start Rollover Tier Augmentation 0 aMW | Max $48.24/MWh | Min $33.95/MWh</v>
      </c>
    </row>
    <row r="43" spans="2:25" ht="12.75">
      <c r="B43" s="13">
        <f>RootCalculations!G40</f>
        <v>8.132</v>
      </c>
      <c r="C43" s="106" t="str">
        <f>RootCalculations!C40</f>
        <v>Heyburn, City of</v>
      </c>
      <c r="D43" s="105">
        <f>RootCalculations!T40</f>
        <v>45.840561068419795</v>
      </c>
      <c r="E43" s="105">
        <f>RootCalculations!AS40</f>
        <v>39.115341506078465</v>
      </c>
      <c r="F43" s="105">
        <f>RootCalculations!BR40</f>
        <v>42.40911577715124</v>
      </c>
      <c r="G43" s="107">
        <f>RootCalculations!CC40</f>
        <v>35.90132553133049</v>
      </c>
      <c r="H43" s="105">
        <f ca="1">RootCalculations!Z40</f>
        <v>44.552432961193595</v>
      </c>
      <c r="I43" s="105">
        <f ca="1">RootCalculations!AY40</f>
        <v>37.22664008055508</v>
      </c>
      <c r="J43" s="105">
        <f ca="1">RootCalculations!BX40</f>
        <v>40.32482902861532</v>
      </c>
      <c r="K43" s="105">
        <f ca="1">RootCalculations!CG40</f>
        <v>39.30481757441425</v>
      </c>
      <c r="L43" s="13">
        <f ca="1">RootCalculations!V40</f>
        <v>7.3187999999999995</v>
      </c>
      <c r="M43" s="108">
        <f ca="1">RootCalculations!U40</f>
        <v>0.9</v>
      </c>
      <c r="N43" s="58">
        <f t="shared" si="8"/>
        <v>0</v>
      </c>
      <c r="O43" s="58">
        <f t="shared" si="10"/>
        <v>-0.14670892776167233</v>
      </c>
      <c r="P43" s="58">
        <f t="shared" si="11"/>
        <v>-0.07485609275477478</v>
      </c>
      <c r="Q43" s="58">
        <f t="shared" si="12"/>
        <v>-0.21682185613423</v>
      </c>
      <c r="R43" s="58">
        <v>0</v>
      </c>
      <c r="S43" s="58">
        <f ca="1" t="shared" si="13"/>
        <v>-0.16443081541740912</v>
      </c>
      <c r="T43" s="58">
        <f ca="1" t="shared" si="14"/>
        <v>-0.09489052901466988</v>
      </c>
      <c r="U43" s="58">
        <f ca="1" t="shared" si="15"/>
        <v>-0.11778515869941741</v>
      </c>
      <c r="W43" s="118" t="str">
        <f>$AA$8&amp;" "&amp;AC8</f>
        <v>Start NRU Proposal Tier</v>
      </c>
      <c r="X43" s="55">
        <f>ROUND(RootCalculations!AR12,0)</f>
        <v>5</v>
      </c>
      <c r="Y43" s="13" t="str">
        <f>W43&amp;" Augmentation "&amp;X43&amp;" aMW"&amp;" | Max $"&amp;X51&amp;"/MWh"&amp;" | Min $"&amp;Y51&amp;"/MWh"</f>
        <v>Start NRU Proposal Tier Augmentation 5 aMW | Max $40.18/MWh | Min $35.58/MWh</v>
      </c>
    </row>
    <row r="44" spans="2:25" ht="12.75">
      <c r="B44" s="13">
        <f>RootCalculations!G102</f>
        <v>8.182</v>
      </c>
      <c r="C44" s="106" t="str">
        <f>RootCalculations!C102</f>
        <v>Nespelem Valley Elec Coop</v>
      </c>
      <c r="D44" s="105">
        <f>RootCalculations!T102</f>
        <v>42.152721461261706</v>
      </c>
      <c r="E44" s="105">
        <f>RootCalculations!AS102</f>
        <v>37.93877930381488</v>
      </c>
      <c r="F44" s="105">
        <f>RootCalculations!BR102</f>
        <v>40.33724264147051</v>
      </c>
      <c r="G44" s="107">
        <f>RootCalculations!CC102</f>
        <v>35.90132553133049</v>
      </c>
      <c r="H44" s="105">
        <f ca="1">RootCalculations!Z102</f>
        <v>46.08025950007083</v>
      </c>
      <c r="I44" s="105">
        <f ca="1">RootCalculations!AY102</f>
        <v>42.57693673170579</v>
      </c>
      <c r="J44" s="105">
        <f ca="1">RootCalculations!BX102</f>
        <v>44.15529699328048</v>
      </c>
      <c r="K44" s="105">
        <f ca="1">RootCalculations!CG102</f>
        <v>39.30481757441425</v>
      </c>
      <c r="L44" s="13">
        <f ca="1">RootCalculations!V102</f>
        <v>9.73658</v>
      </c>
      <c r="M44" s="108">
        <f ca="1">RootCalculations!U102</f>
        <v>1.19</v>
      </c>
      <c r="N44" s="58">
        <f t="shared" si="8"/>
        <v>0</v>
      </c>
      <c r="O44" s="58">
        <f t="shared" si="10"/>
        <v>-0.0999684483318457</v>
      </c>
      <c r="P44" s="58">
        <f t="shared" si="11"/>
        <v>-0.043069077318284577</v>
      </c>
      <c r="Q44" s="58">
        <f t="shared" si="12"/>
        <v>-0.1483034953194241</v>
      </c>
      <c r="R44" s="58">
        <v>0</v>
      </c>
      <c r="S44" s="58">
        <f ca="1" t="shared" si="13"/>
        <v>-0.07602654165521039</v>
      </c>
      <c r="T44" s="58">
        <f ca="1" t="shared" si="14"/>
        <v>-0.04177412470490516</v>
      </c>
      <c r="U44" s="58">
        <f ca="1" t="shared" si="15"/>
        <v>-0.14703567208961066</v>
      </c>
      <c r="W44" s="118" t="str">
        <f>$AA$8&amp;" "&amp;AD8</f>
        <v>Start BPA Jan24 Tier</v>
      </c>
      <c r="X44" s="13">
        <f>ROUND(RootCalculations!BQ12,0)</f>
        <v>0</v>
      </c>
      <c r="Y44" s="13" t="str">
        <f>W44&amp;" Augmentation "&amp;X44&amp;" aMW"&amp;" | Max $"&amp;X52&amp;"/MWh"&amp;" | Min $"&amp;Y52&amp;"/MWh"</f>
        <v>Start BPA Jan24 Tier Augmentation 0 aMW | Max $44.05/MWh | Min $34.79/MWh</v>
      </c>
    </row>
    <row r="45" spans="2:25" ht="12.75">
      <c r="B45" s="13">
        <f>RootCalculations!G142</f>
        <v>8.236</v>
      </c>
      <c r="C45" s="106" t="str">
        <f>RootCalculations!C142</f>
        <v>West Oregon Elec Coop</v>
      </c>
      <c r="D45" s="105">
        <f>RootCalculations!T142</f>
        <v>33.949064274110405</v>
      </c>
      <c r="E45" s="105">
        <f>RootCalculations!AS142</f>
        <v>35.5763854636149</v>
      </c>
      <c r="F45" s="105">
        <f>RootCalculations!BR142</f>
        <v>34.790963136607154</v>
      </c>
      <c r="G45" s="107">
        <f>RootCalculations!CC142</f>
        <v>35.90132553133049</v>
      </c>
      <c r="H45" s="105">
        <f ca="1">RootCalculations!Z142</f>
        <v>40.06429461796615</v>
      </c>
      <c r="I45" s="105">
        <f ca="1">RootCalculations!AY142</f>
        <v>40.54368198471865</v>
      </c>
      <c r="J45" s="105">
        <f ca="1">RootCalculations!BX142</f>
        <v>40.42126793575007</v>
      </c>
      <c r="K45" s="105">
        <f ca="1">RootCalculations!CG142</f>
        <v>39.30481757441425</v>
      </c>
      <c r="L45" s="13">
        <f ca="1">RootCalculations!V142</f>
        <v>10.377360000000001</v>
      </c>
      <c r="M45" s="108">
        <f ca="1">RootCalculations!U142</f>
        <v>1.26</v>
      </c>
      <c r="N45" s="58">
        <f t="shared" si="8"/>
        <v>0</v>
      </c>
      <c r="O45" s="58">
        <f t="shared" si="10"/>
        <v>0.04793419860898762</v>
      </c>
      <c r="P45" s="58">
        <f t="shared" si="11"/>
        <v>0.024798882693764845</v>
      </c>
      <c r="Q45" s="58">
        <f t="shared" si="12"/>
        <v>0.05750559842996572</v>
      </c>
      <c r="R45" s="58">
        <v>0</v>
      </c>
      <c r="S45" s="58">
        <f ca="1" t="shared" si="13"/>
        <v>0.011965451315784081</v>
      </c>
      <c r="T45" s="58">
        <f ca="1" t="shared" si="14"/>
        <v>0.008910011300282461</v>
      </c>
      <c r="U45" s="58">
        <f ca="1" t="shared" si="15"/>
        <v>-0.0189564561361657</v>
      </c>
      <c r="W45" s="118" t="str">
        <f>$AA$8&amp;" "&amp;AE8</f>
        <v>Start Melded</v>
      </c>
      <c r="X45" s="13">
        <f>ROUND(RootCalculations!CC12,0)</f>
        <v>90</v>
      </c>
      <c r="Y45" s="13" t="str">
        <f>W45&amp;" Augmentation "&amp;X45&amp;" aMW"&amp;" | Max $"&amp;X53&amp;"/MWh"&amp;" | Min $"&amp;Y53&amp;"/MWh"</f>
        <v>Start Melded Augmentation 90 aMW | Max $35.9/MWh | Min $35.9/MWh</v>
      </c>
    </row>
    <row r="46" spans="2:21" ht="12.75">
      <c r="B46" s="13">
        <f>RootCalculations!G46</f>
        <v>8.742</v>
      </c>
      <c r="C46" s="106" t="str">
        <f>RootCalculations!C46</f>
        <v>Monmouth, City of</v>
      </c>
      <c r="D46" s="105">
        <f>RootCalculations!T46</f>
        <v>35.21373879254008</v>
      </c>
      <c r="E46" s="105">
        <f>RootCalculations!AS46</f>
        <v>35.5763854636149</v>
      </c>
      <c r="F46" s="105">
        <f>RootCalculations!BR46</f>
        <v>35.106969994558646</v>
      </c>
      <c r="G46" s="107">
        <f>RootCalculations!CC46</f>
        <v>35.90132553133049</v>
      </c>
      <c r="H46" s="105">
        <f ca="1">RootCalculations!Z46</f>
        <v>41.86966370168187</v>
      </c>
      <c r="I46" s="105">
        <f ca="1">RootCalculations!AY46</f>
        <v>41.14548856933258</v>
      </c>
      <c r="J46" s="105">
        <f ca="1">RootCalculations!BX46</f>
        <v>41.270420265971026</v>
      </c>
      <c r="K46" s="105">
        <f ca="1">RootCalculations!CG46</f>
        <v>39.30481757441425</v>
      </c>
      <c r="L46" s="13">
        <f ca="1">RootCalculations!V46</f>
        <v>11.102340000000002</v>
      </c>
      <c r="M46" s="108">
        <f ca="1">RootCalculations!U46</f>
        <v>1.27</v>
      </c>
      <c r="N46" s="58">
        <f t="shared" si="8"/>
        <v>0</v>
      </c>
      <c r="O46" s="58">
        <f t="shared" si="10"/>
        <v>0.010298442696225374</v>
      </c>
      <c r="P46" s="58">
        <f t="shared" si="11"/>
        <v>-0.003032021070254798</v>
      </c>
      <c r="Q46" s="58">
        <f t="shared" si="12"/>
        <v>0.019526093007087297</v>
      </c>
      <c r="R46" s="58">
        <v>0</v>
      </c>
      <c r="S46" s="58">
        <f ca="1" t="shared" si="13"/>
        <v>-0.01729593859432421</v>
      </c>
      <c r="T46" s="58">
        <f ca="1" t="shared" si="14"/>
        <v>-0.0143121148519465</v>
      </c>
      <c r="U46" s="58">
        <f ca="1" t="shared" si="15"/>
        <v>-0.06125786310446513</v>
      </c>
    </row>
    <row r="47" spans="2:21" ht="12.75">
      <c r="B47" s="13">
        <f>RootCalculations!G50</f>
        <v>9.029</v>
      </c>
      <c r="C47" s="106" t="str">
        <f>RootCalculations!C50</f>
        <v>Rupert, City of</v>
      </c>
      <c r="D47" s="105">
        <f>RootCalculations!T50</f>
        <v>33.949064274110405</v>
      </c>
      <c r="E47" s="105">
        <f>RootCalculations!AS50</f>
        <v>35.5763854636149</v>
      </c>
      <c r="F47" s="105">
        <f>RootCalculations!BR50</f>
        <v>34.790963136607154</v>
      </c>
      <c r="G47" s="107">
        <f>RootCalculations!CC50</f>
        <v>35.90132553133049</v>
      </c>
      <c r="H47" s="105">
        <f ca="1">RootCalculations!Z50</f>
        <v>34.90901605903751</v>
      </c>
      <c r="I47" s="105">
        <f ca="1">RootCalculations!AY50</f>
        <v>36.38031310262951</v>
      </c>
      <c r="J47" s="105">
        <f ca="1">RootCalculations!BX50</f>
        <v>35.05800570624853</v>
      </c>
      <c r="K47" s="105">
        <f ca="1">RootCalculations!CG50</f>
        <v>39.30481757441425</v>
      </c>
      <c r="L47" s="13">
        <f ca="1">RootCalculations!V50</f>
        <v>8.75813</v>
      </c>
      <c r="M47" s="108">
        <f ca="1">RootCalculations!U50</f>
        <v>0.97</v>
      </c>
      <c r="N47" s="58">
        <f t="shared" si="8"/>
        <v>0</v>
      </c>
      <c r="O47" s="58">
        <f t="shared" si="10"/>
        <v>0.04793419860898762</v>
      </c>
      <c r="P47" s="58">
        <f t="shared" si="11"/>
        <v>0.024798882693764845</v>
      </c>
      <c r="Q47" s="58">
        <f t="shared" si="12"/>
        <v>0.05750559842996572</v>
      </c>
      <c r="R47" s="58">
        <v>0</v>
      </c>
      <c r="S47" s="58">
        <f ca="1" t="shared" si="13"/>
        <v>0.0421466202629075</v>
      </c>
      <c r="T47" s="58">
        <f ca="1" t="shared" si="14"/>
        <v>0.0042679417534727815</v>
      </c>
      <c r="U47" s="58">
        <f ca="1" t="shared" si="15"/>
        <v>0.1259216675698518</v>
      </c>
    </row>
    <row r="48" spans="2:23" ht="12.75">
      <c r="B48" s="13">
        <f>RootCalculations!G44</f>
        <v>9.111</v>
      </c>
      <c r="C48" s="106" t="str">
        <f>RootCalculations!C44</f>
        <v>Milton-Freewater, City of</v>
      </c>
      <c r="D48" s="105">
        <f>RootCalculations!T44</f>
        <v>33.949064274110405</v>
      </c>
      <c r="E48" s="105">
        <f>RootCalculations!AS44</f>
        <v>35.5763854636149</v>
      </c>
      <c r="F48" s="105">
        <f>RootCalculations!BR44</f>
        <v>34.790963136607154</v>
      </c>
      <c r="G48" s="107">
        <f>RootCalculations!CC44</f>
        <v>35.90132553133049</v>
      </c>
      <c r="H48" s="105">
        <f ca="1">RootCalculations!Z44</f>
        <v>34.90901605903751</v>
      </c>
      <c r="I48" s="105">
        <f ca="1">RootCalculations!AY44</f>
        <v>36.38031310262951</v>
      </c>
      <c r="J48" s="105">
        <f ca="1">RootCalculations!BX44</f>
        <v>35.05800570624853</v>
      </c>
      <c r="K48" s="105">
        <f ca="1">RootCalculations!CG44</f>
        <v>39.30481757441425</v>
      </c>
      <c r="L48" s="13">
        <f ca="1">RootCalculations!V44</f>
        <v>8.56434</v>
      </c>
      <c r="M48" s="108">
        <f ca="1">RootCalculations!U44</f>
        <v>0.94</v>
      </c>
      <c r="N48" s="58">
        <f t="shared" si="8"/>
        <v>0</v>
      </c>
      <c r="O48" s="58">
        <f t="shared" si="10"/>
        <v>0.04793419860898762</v>
      </c>
      <c r="P48" s="58">
        <f t="shared" si="11"/>
        <v>0.024798882693764845</v>
      </c>
      <c r="Q48" s="58">
        <f t="shared" si="12"/>
        <v>0.05750559842996572</v>
      </c>
      <c r="R48" s="58">
        <v>0</v>
      </c>
      <c r="S48" s="58">
        <f ca="1" t="shared" si="13"/>
        <v>0.0421466202629075</v>
      </c>
      <c r="T48" s="58">
        <f ca="1" t="shared" si="14"/>
        <v>0.0042679417534727815</v>
      </c>
      <c r="U48" s="58">
        <f ca="1" t="shared" si="15"/>
        <v>0.1259216675698518</v>
      </c>
      <c r="W48" s="13" t="str">
        <f>"Start Rate Design and System Size Quantities | TRL = "&amp;X10&amp;" aMW | Acq. Cost = $"&amp;X13&amp;"/MWh"</f>
        <v>Start Rate Design and System Size Quantities | TRL = 7153 aMW | Acq. Cost = $63/MWh</v>
      </c>
    </row>
    <row r="49" spans="2:26" ht="12.75">
      <c r="B49" s="13">
        <f>RootCalculations!G29</f>
        <v>9.802</v>
      </c>
      <c r="C49" s="106" t="str">
        <f>RootCalculations!C29</f>
        <v>Blaine, City of</v>
      </c>
      <c r="D49" s="105">
        <f>RootCalculations!T29</f>
        <v>37.08876404872921</v>
      </c>
      <c r="E49" s="105">
        <f>RootCalculations!AS29</f>
        <v>35.5763854636149</v>
      </c>
      <c r="F49" s="105">
        <f>RootCalculations!BR29</f>
        <v>36.57812109048611</v>
      </c>
      <c r="G49" s="107">
        <f>RootCalculations!CC29</f>
        <v>35.90132553133049</v>
      </c>
      <c r="H49" s="105">
        <f ca="1">RootCalculations!Z29</f>
        <v>36.338505501309015</v>
      </c>
      <c r="I49" s="105">
        <f ca="1">RootCalculations!AY29</f>
        <v>36.38031310262951</v>
      </c>
      <c r="J49" s="105">
        <f ca="1">RootCalculations!BX29</f>
        <v>35.150124558339755</v>
      </c>
      <c r="K49" s="105">
        <f ca="1">RootCalculations!CG29</f>
        <v>39.30481757441425</v>
      </c>
      <c r="L49" s="13">
        <f ca="1">RootCalculations!V29</f>
        <v>9.21388</v>
      </c>
      <c r="M49" s="108">
        <f ca="1">RootCalculations!U29</f>
        <v>0.94</v>
      </c>
      <c r="N49" s="58">
        <f t="shared" si="8"/>
        <v>0</v>
      </c>
      <c r="O49" s="58">
        <f t="shared" si="10"/>
        <v>-0.04077727106590201</v>
      </c>
      <c r="P49" s="58">
        <f t="shared" si="11"/>
        <v>-0.01376813089733031</v>
      </c>
      <c r="Q49" s="58">
        <f t="shared" si="12"/>
        <v>-0.032016125310581844</v>
      </c>
      <c r="R49" s="58">
        <v>0</v>
      </c>
      <c r="S49" s="58">
        <f ca="1" t="shared" si="13"/>
        <v>0.0011505041482509082</v>
      </c>
      <c r="T49" s="58">
        <f ca="1" t="shared" si="14"/>
        <v>-0.03270307698610364</v>
      </c>
      <c r="U49" s="58">
        <f ca="1" t="shared" si="15"/>
        <v>0.08162999639592727</v>
      </c>
      <c r="X49" s="53" t="s">
        <v>240</v>
      </c>
      <c r="Y49" s="53" t="s">
        <v>241</v>
      </c>
      <c r="Z49" s="53" t="s">
        <v>255</v>
      </c>
    </row>
    <row r="50" spans="2:26" ht="12.75">
      <c r="B50" s="13">
        <f>RootCalculations!G96</f>
        <v>9.862</v>
      </c>
      <c r="C50" s="106" t="str">
        <f>RootCalculations!C96</f>
        <v>Mason County PUD #1</v>
      </c>
      <c r="D50" s="105">
        <f>RootCalculations!T96</f>
        <v>36.537237946808986</v>
      </c>
      <c r="E50" s="105">
        <f>RootCalculations!AS96</f>
        <v>35.5763854636149</v>
      </c>
      <c r="F50" s="105">
        <f>RootCalculations!BR96</f>
        <v>36.168707367825704</v>
      </c>
      <c r="G50" s="107">
        <f>RootCalculations!CC96</f>
        <v>35.90132553133049</v>
      </c>
      <c r="H50" s="105">
        <f ca="1">RootCalculations!Z96</f>
        <v>39.5346959530112</v>
      </c>
      <c r="I50" s="105">
        <f ca="1">RootCalculations!AY96</f>
        <v>38.180342682214196</v>
      </c>
      <c r="J50" s="105">
        <f ca="1">RootCalculations!BX96</f>
        <v>38.627121729166106</v>
      </c>
      <c r="K50" s="105">
        <f ca="1">RootCalculations!CG96</f>
        <v>39.30481757441425</v>
      </c>
      <c r="L50" s="13">
        <f ca="1">RootCalculations!V96</f>
        <v>10.749580000000002</v>
      </c>
      <c r="M50" s="108">
        <f ca="1">RootCalculations!U96</f>
        <v>1.09</v>
      </c>
      <c r="N50" s="58">
        <f t="shared" si="8"/>
        <v>0</v>
      </c>
      <c r="O50" s="58">
        <f t="shared" si="10"/>
        <v>-0.026297895987455355</v>
      </c>
      <c r="P50" s="58">
        <f t="shared" si="11"/>
        <v>-0.010086437828710215</v>
      </c>
      <c r="Q50" s="58">
        <f t="shared" si="12"/>
        <v>-0.017404501577384046</v>
      </c>
      <c r="R50" s="58">
        <v>0</v>
      </c>
      <c r="S50" s="58">
        <f ca="1" t="shared" si="13"/>
        <v>-0.034257333669815426</v>
      </c>
      <c r="T50" s="58">
        <f ca="1" t="shared" si="14"/>
        <v>-0.022956398221040786</v>
      </c>
      <c r="U50" s="58">
        <f ca="1" t="shared" si="15"/>
        <v>-0.005814598368738433</v>
      </c>
      <c r="W50" s="118" t="str">
        <f>$AA$8&amp;" "&amp;AB8</f>
        <v>Start Rollover Tier</v>
      </c>
      <c r="X50" s="105">
        <f>D3</f>
        <v>48.24</v>
      </c>
      <c r="Y50" s="105">
        <f>D5</f>
        <v>33.95</v>
      </c>
      <c r="Z50" s="105">
        <f>RootCalculations!T14</f>
        <v>33.949064274110405</v>
      </c>
    </row>
    <row r="51" spans="2:26" ht="12.75">
      <c r="B51" s="13">
        <f>RootCalculations!G76</f>
        <v>10.083</v>
      </c>
      <c r="C51" s="106" t="str">
        <f>RootCalculations!C76</f>
        <v>Ferry County PUD #1</v>
      </c>
      <c r="D51" s="105">
        <f>RootCalculations!T76</f>
        <v>33.949064274110405</v>
      </c>
      <c r="E51" s="105">
        <f>RootCalculations!AS76</f>
        <v>35.5763854636149</v>
      </c>
      <c r="F51" s="105">
        <f>RootCalculations!BR76</f>
        <v>34.790963136607154</v>
      </c>
      <c r="G51" s="107">
        <f>RootCalculations!CC76</f>
        <v>35.90132553133049</v>
      </c>
      <c r="H51" s="105">
        <f ca="1">RootCalculations!Z76</f>
        <v>34.90901605903751</v>
      </c>
      <c r="I51" s="105">
        <f ca="1">RootCalculations!AY76</f>
        <v>36.38031310262951</v>
      </c>
      <c r="J51" s="105">
        <f ca="1">RootCalculations!BX76</f>
        <v>35.05800570624853</v>
      </c>
      <c r="K51" s="105">
        <f ca="1">RootCalculations!CG76</f>
        <v>39.30481757441425</v>
      </c>
      <c r="L51" s="13">
        <f ca="1">RootCalculations!V76</f>
        <v>9.0747</v>
      </c>
      <c r="M51" s="108">
        <f ca="1">RootCalculations!U76</f>
        <v>0.9</v>
      </c>
      <c r="N51" s="58">
        <f t="shared" si="8"/>
        <v>0</v>
      </c>
      <c r="O51" s="58">
        <f t="shared" si="10"/>
        <v>0.04793419860898762</v>
      </c>
      <c r="P51" s="58">
        <f t="shared" si="11"/>
        <v>0.024798882693764845</v>
      </c>
      <c r="Q51" s="58">
        <f t="shared" si="12"/>
        <v>0.05750559842996572</v>
      </c>
      <c r="R51" s="58">
        <v>0</v>
      </c>
      <c r="S51" s="58">
        <f ca="1" t="shared" si="13"/>
        <v>0.0421466202629075</v>
      </c>
      <c r="T51" s="58">
        <f ca="1" t="shared" si="14"/>
        <v>0.0042679417534727815</v>
      </c>
      <c r="U51" s="58">
        <f ca="1" t="shared" si="15"/>
        <v>0.1259216675698518</v>
      </c>
      <c r="W51" s="118" t="str">
        <f>$AA$8&amp;" "&amp;AB9</f>
        <v>Start NRU Proposal Tier</v>
      </c>
      <c r="X51" s="105">
        <f>E3</f>
        <v>40.18</v>
      </c>
      <c r="Y51" s="105">
        <f>E5</f>
        <v>35.58</v>
      </c>
      <c r="Z51" s="105">
        <f>RootCalculations!AS14</f>
        <v>35.5763854636149</v>
      </c>
    </row>
    <row r="52" spans="2:26" ht="12.75">
      <c r="B52" s="13">
        <f>RootCalculations!G105</f>
        <v>10.997</v>
      </c>
      <c r="C52" s="106" t="str">
        <f>RootCalculations!C105</f>
        <v>Ohop Mutual Light Company</v>
      </c>
      <c r="D52" s="105">
        <f>RootCalculations!T105</f>
        <v>36.17461806823802</v>
      </c>
      <c r="E52" s="105">
        <f>RootCalculations!AS105</f>
        <v>35.5763854636149</v>
      </c>
      <c r="F52" s="105">
        <f>RootCalculations!BR105</f>
        <v>35.899524179796124</v>
      </c>
      <c r="G52" s="107">
        <f>RootCalculations!CC105</f>
        <v>35.90132553133049</v>
      </c>
      <c r="H52" s="105">
        <f ca="1">RootCalculations!Z105</f>
        <v>44.37275664636484</v>
      </c>
      <c r="I52" s="105">
        <f ca="1">RootCalculations!AY105</f>
        <v>43.43580458526855</v>
      </c>
      <c r="J52" s="105">
        <f ca="1">RootCalculations!BX105</f>
        <v>43.72152297961574</v>
      </c>
      <c r="K52" s="105">
        <f ca="1">RootCalculations!CG105</f>
        <v>39.30481757441425</v>
      </c>
      <c r="L52" s="13">
        <f ca="1">RootCalculations!V105</f>
        <v>15.285829999999999</v>
      </c>
      <c r="M52" s="108">
        <f ca="1">RootCalculations!U105</f>
        <v>1.39</v>
      </c>
      <c r="N52" s="58">
        <f t="shared" si="8"/>
        <v>0</v>
      </c>
      <c r="O52" s="58">
        <f t="shared" si="10"/>
        <v>-0.01653735786497168</v>
      </c>
      <c r="P52" s="58">
        <f t="shared" si="11"/>
        <v>-0.007604610722440008</v>
      </c>
      <c r="Q52" s="58">
        <f t="shared" si="12"/>
        <v>-0.007554814715444946</v>
      </c>
      <c r="R52" s="58">
        <v>0</v>
      </c>
      <c r="S52" s="58">
        <f ca="1" t="shared" si="13"/>
        <v>-0.021115480125867947</v>
      </c>
      <c r="T52" s="58">
        <f ca="1" t="shared" si="14"/>
        <v>-0.014676430223598769</v>
      </c>
      <c r="U52" s="58">
        <f ca="1" t="shared" si="15"/>
        <v>-0.11421285164544248</v>
      </c>
      <c r="W52" s="118" t="str">
        <f>$AA$8&amp;" "&amp;AB10</f>
        <v>Start BPA Jan24 Tier</v>
      </c>
      <c r="X52" s="105">
        <f>F3</f>
        <v>44.05</v>
      </c>
      <c r="Y52" s="105">
        <f>F5</f>
        <v>34.79</v>
      </c>
      <c r="Z52" s="105">
        <f>RootCalculations!BR14</f>
        <v>34.790963136607154</v>
      </c>
    </row>
    <row r="53" spans="2:26" ht="12.75">
      <c r="B53" s="13">
        <f>RootCalculations!G94</f>
        <v>11.468</v>
      </c>
      <c r="C53" s="106" t="str">
        <f>RootCalculations!C94</f>
        <v>Lost River Elec Coop</v>
      </c>
      <c r="D53" s="105">
        <f>RootCalculations!T94</f>
        <v>38.8888931178214</v>
      </c>
      <c r="E53" s="105">
        <f>RootCalculations!AS94</f>
        <v>36.29956691789197</v>
      </c>
      <c r="F53" s="105">
        <f>RootCalculations!BR94</f>
        <v>37.91440878544794</v>
      </c>
      <c r="G53" s="107">
        <f>RootCalculations!CC94</f>
        <v>35.90132553133049</v>
      </c>
      <c r="H53" s="105">
        <f ca="1">RootCalculations!Z94</f>
        <v>38.96153188058851</v>
      </c>
      <c r="I53" s="105">
        <f ca="1">RootCalculations!AY94</f>
        <v>36.38031310262951</v>
      </c>
      <c r="J53" s="105">
        <f ca="1">RootCalculations!BX94</f>
        <v>37.37980238717507</v>
      </c>
      <c r="K53" s="105">
        <f ca="1">RootCalculations!CG94</f>
        <v>39.30481757441425</v>
      </c>
      <c r="L53" s="13">
        <f ca="1">RootCalculations!V94</f>
        <v>11.12396</v>
      </c>
      <c r="M53" s="108">
        <f ca="1">RootCalculations!U94</f>
        <v>0.97</v>
      </c>
      <c r="N53" s="58">
        <f t="shared" si="8"/>
        <v>0</v>
      </c>
      <c r="O53" s="58">
        <f t="shared" si="10"/>
        <v>-0.06658266647200684</v>
      </c>
      <c r="P53" s="58">
        <f t="shared" si="11"/>
        <v>-0.02505816582182141</v>
      </c>
      <c r="Q53" s="58">
        <f t="shared" si="12"/>
        <v>-0.07682315815571028</v>
      </c>
      <c r="R53" s="58">
        <v>0</v>
      </c>
      <c r="S53" s="58">
        <f ca="1" t="shared" si="13"/>
        <v>-0.0662504437933823</v>
      </c>
      <c r="T53" s="58">
        <f ca="1" t="shared" si="14"/>
        <v>-0.04059721004454375</v>
      </c>
      <c r="U53" s="58">
        <f ca="1" t="shared" si="15"/>
        <v>0.008810888003014439</v>
      </c>
      <c r="W53" s="118" t="str">
        <f>$AA$8&amp;" "&amp;AB11</f>
        <v>Start Melded</v>
      </c>
      <c r="X53" s="105">
        <f>G3</f>
        <v>35.9</v>
      </c>
      <c r="Y53" s="105">
        <f>G5</f>
        <v>35.9</v>
      </c>
      <c r="Z53" s="105">
        <f>RootCalculations!CC14</f>
        <v>35.90132553133049</v>
      </c>
    </row>
    <row r="54" spans="2:21" ht="12.75">
      <c r="B54" s="13">
        <f>RootCalculations!G127</f>
        <v>11.568</v>
      </c>
      <c r="C54" s="106" t="str">
        <f>RootCalculations!C127</f>
        <v>Tanner Elec Coop</v>
      </c>
      <c r="D54" s="105">
        <f>RootCalculations!T127</f>
        <v>35.30069130981898</v>
      </c>
      <c r="E54" s="105">
        <f>RootCalculations!AS127</f>
        <v>35.5763854636149</v>
      </c>
      <c r="F54" s="105">
        <f>RootCalculations!BR127</f>
        <v>35.250783156930375</v>
      </c>
      <c r="G54" s="107">
        <f>RootCalculations!CC127</f>
        <v>35.90132553133049</v>
      </c>
      <c r="H54" s="105">
        <f ca="1">RootCalculations!Z127</f>
        <v>41.24696260242031</v>
      </c>
      <c r="I54" s="105">
        <f ca="1">RootCalculations!AY127</f>
        <v>40.52883064709094</v>
      </c>
      <c r="J54" s="105">
        <f ca="1">RootCalculations!BX127</f>
        <v>40.675683943858125</v>
      </c>
      <c r="K54" s="105">
        <f ca="1">RootCalculations!CG127</f>
        <v>39.30481757441425</v>
      </c>
      <c r="L54" s="13">
        <f ca="1">RootCalculations!V127</f>
        <v>14.228639999999999</v>
      </c>
      <c r="M54" s="108">
        <f ca="1">RootCalculations!U127</f>
        <v>1.23</v>
      </c>
      <c r="N54" s="58">
        <f t="shared" si="8"/>
        <v>0</v>
      </c>
      <c r="O54" s="58">
        <f t="shared" si="10"/>
        <v>0.007809879737942449</v>
      </c>
      <c r="P54" s="58">
        <f t="shared" si="11"/>
        <v>-0.0014138010060648076</v>
      </c>
      <c r="Q54" s="58">
        <f t="shared" si="12"/>
        <v>0.017014800538607044</v>
      </c>
      <c r="R54" s="58">
        <v>0</v>
      </c>
      <c r="S54" s="58">
        <f ca="1" t="shared" si="13"/>
        <v>-0.017410541528874446</v>
      </c>
      <c r="T54" s="58">
        <f ca="1" t="shared" si="14"/>
        <v>-0.013850199445441413</v>
      </c>
      <c r="U54" s="58">
        <f ca="1" t="shared" si="15"/>
        <v>-0.04708577081726972</v>
      </c>
    </row>
    <row r="55" spans="2:21" ht="12.75">
      <c r="B55" s="13">
        <f>RootCalculations!G147</f>
        <v>12.32</v>
      </c>
      <c r="C55" s="106" t="str">
        <f>RootCalculations!C147</f>
        <v>Hermiston, City of</v>
      </c>
      <c r="D55" s="105">
        <f>RootCalculations!T147</f>
        <v>33.949064274110405</v>
      </c>
      <c r="E55" s="105">
        <f>RootCalculations!AS147</f>
        <v>35.5763854636149</v>
      </c>
      <c r="F55" s="105">
        <f>RootCalculations!BR147</f>
        <v>34.790963136607154</v>
      </c>
      <c r="G55" s="107">
        <f>RootCalculations!CC147</f>
        <v>35.90132553133049</v>
      </c>
      <c r="H55" s="105">
        <f ca="1">RootCalculations!Z147</f>
        <v>39.035591064550225</v>
      </c>
      <c r="I55" s="105">
        <f ca="1">RootCalculations!AY147</f>
        <v>39.92358411462043</v>
      </c>
      <c r="J55" s="105">
        <f ca="1">RootCalculations!BX147</f>
        <v>39.797807750725916</v>
      </c>
      <c r="K55" s="105">
        <f ca="1">RootCalculations!CG147</f>
        <v>39.30481757441425</v>
      </c>
      <c r="L55" s="13">
        <f ca="1">RootCalculations!V147</f>
        <v>15.1536</v>
      </c>
      <c r="M55" s="108">
        <f ca="1">RootCalculations!U147</f>
        <v>1.23</v>
      </c>
      <c r="N55" s="58">
        <f t="shared" si="8"/>
        <v>0</v>
      </c>
      <c r="O55" s="58">
        <f t="shared" si="10"/>
        <v>0.04793419860898762</v>
      </c>
      <c r="P55" s="58">
        <f t="shared" si="11"/>
        <v>0.024798882693764845</v>
      </c>
      <c r="Q55" s="58">
        <f t="shared" si="12"/>
        <v>0.05750559842996572</v>
      </c>
      <c r="R55" s="58">
        <v>0</v>
      </c>
      <c r="S55" s="58">
        <f ca="1" t="shared" si="13"/>
        <v>0.022748292669676706</v>
      </c>
      <c r="T55" s="58">
        <f ca="1" t="shared" si="14"/>
        <v>0.019526198153763552</v>
      </c>
      <c r="U55" s="58">
        <f ca="1" t="shared" si="15"/>
        <v>0.006896949745652137</v>
      </c>
    </row>
    <row r="56" spans="2:23" ht="12.75">
      <c r="B56" s="13">
        <f>RootCalculations!G87</f>
        <v>12.471</v>
      </c>
      <c r="C56" s="106" t="str">
        <f>RootCalculations!C87</f>
        <v>Kittitas County PUD #1</v>
      </c>
      <c r="D56" s="105">
        <f>RootCalculations!T87</f>
        <v>40.42603653174719</v>
      </c>
      <c r="E56" s="105">
        <f>RootCalculations!AS87</f>
        <v>37.02223500439879</v>
      </c>
      <c r="F56" s="105">
        <f>RootCalculations!BR87</f>
        <v>39.00685593769905</v>
      </c>
      <c r="G56" s="107">
        <f>RootCalculations!CC87</f>
        <v>35.90132553133049</v>
      </c>
      <c r="H56" s="105">
        <f ca="1">RootCalculations!Z87</f>
        <v>44.83070442124275</v>
      </c>
      <c r="I56" s="105">
        <f ca="1">RootCalculations!AY87</f>
        <v>42.00663499539135</v>
      </c>
      <c r="J56" s="105">
        <f ca="1">RootCalculations!BX87</f>
        <v>43.21513129750718</v>
      </c>
      <c r="K56" s="105">
        <f ca="1">RootCalculations!CG87</f>
        <v>39.30481757441425</v>
      </c>
      <c r="L56" s="13">
        <f ca="1">RootCalculations!V87</f>
        <v>14.9652</v>
      </c>
      <c r="M56" s="108">
        <f ca="1">RootCalculations!U87</f>
        <v>1.2</v>
      </c>
      <c r="N56" s="58">
        <f t="shared" si="8"/>
        <v>0</v>
      </c>
      <c r="O56" s="58">
        <f t="shared" si="10"/>
        <v>-0.08419824992428682</v>
      </c>
      <c r="P56" s="58">
        <f t="shared" si="11"/>
        <v>-0.03510560806359608</v>
      </c>
      <c r="Q56" s="58">
        <f t="shared" si="12"/>
        <v>-0.11192566446288565</v>
      </c>
      <c r="R56" s="58">
        <v>0</v>
      </c>
      <c r="S56" s="58">
        <f ca="1" t="shared" si="13"/>
        <v>-0.06299408992809019</v>
      </c>
      <c r="T56" s="58">
        <f ca="1" t="shared" si="14"/>
        <v>-0.03603720139115285</v>
      </c>
      <c r="U56" s="58">
        <f ca="1" t="shared" si="15"/>
        <v>-0.12326120943596175</v>
      </c>
      <c r="W56" s="13" t="str">
        <f ca="1">"End Rate Design and System Size Quantities | TRL = "&amp;X11&amp;" aMW | Total Load Change = "&amp;X12*100&amp;"% | Acq. Cost = $"&amp;X13&amp;"/MWh"</f>
        <v>End Rate Design and System Size Quantities | TRL = 8175 aMW | Total Load Change = 114% | Acq. Cost = $63/MWh</v>
      </c>
    </row>
    <row r="57" spans="2:26" ht="12.75">
      <c r="B57" s="13">
        <f>RootCalculations!G140</f>
        <v>12.635</v>
      </c>
      <c r="C57" s="106" t="str">
        <f>RootCalculations!C140</f>
        <v>Wasco Elec Coop</v>
      </c>
      <c r="D57" s="105">
        <f>RootCalculations!T140</f>
        <v>33.949064274110405</v>
      </c>
      <c r="E57" s="105">
        <f>RootCalculations!AS140</f>
        <v>35.5763854636149</v>
      </c>
      <c r="F57" s="105">
        <f>RootCalculations!BR140</f>
        <v>34.790963136607154</v>
      </c>
      <c r="G57" s="107">
        <f>RootCalculations!CC140</f>
        <v>35.90132553133049</v>
      </c>
      <c r="H57" s="105">
        <f ca="1">RootCalculations!Z140</f>
        <v>34.90901605903751</v>
      </c>
      <c r="I57" s="105">
        <f ca="1">RootCalculations!AY140</f>
        <v>36.38031310262951</v>
      </c>
      <c r="J57" s="105">
        <f ca="1">RootCalculations!BX140</f>
        <v>35.07484179938487</v>
      </c>
      <c r="K57" s="105">
        <f ca="1">RootCalculations!CG140</f>
        <v>39.30481757441425</v>
      </c>
      <c r="L57" s="13">
        <f ca="1">RootCalculations!V140</f>
        <v>12.8877</v>
      </c>
      <c r="M57" s="108">
        <f ca="1">RootCalculations!U140</f>
        <v>1.02</v>
      </c>
      <c r="N57" s="58">
        <f t="shared" si="8"/>
        <v>0</v>
      </c>
      <c r="O57" s="58">
        <f t="shared" si="10"/>
        <v>0.04793419860898762</v>
      </c>
      <c r="P57" s="58">
        <f t="shared" si="11"/>
        <v>0.024798882693764845</v>
      </c>
      <c r="Q57" s="58">
        <f t="shared" si="12"/>
        <v>0.05750559842996572</v>
      </c>
      <c r="R57" s="58">
        <v>0</v>
      </c>
      <c r="S57" s="58">
        <f ca="1" t="shared" si="13"/>
        <v>0.0421466202629075</v>
      </c>
      <c r="T57" s="58">
        <f ca="1" t="shared" si="14"/>
        <v>0.004750226705528382</v>
      </c>
      <c r="U57" s="58">
        <f ca="1" t="shared" si="15"/>
        <v>0.1259216675698518</v>
      </c>
      <c r="X57" s="53" t="s">
        <v>240</v>
      </c>
      <c r="Y57" s="53" t="s">
        <v>241</v>
      </c>
      <c r="Z57" s="53" t="s">
        <v>255</v>
      </c>
    </row>
    <row r="58" spans="2:26" ht="12.75">
      <c r="B58" s="13">
        <f>RootCalculations!G111</f>
        <v>13.445</v>
      </c>
      <c r="C58" s="106" t="str">
        <f>RootCalculations!C111</f>
        <v>Parkland L &amp; W</v>
      </c>
      <c r="D58" s="105">
        <f>RootCalculations!T111</f>
        <v>33.949064274110405</v>
      </c>
      <c r="E58" s="105">
        <f>RootCalculations!AS111</f>
        <v>35.5763854636149</v>
      </c>
      <c r="F58" s="105">
        <f>RootCalculations!BR111</f>
        <v>34.790963136607154</v>
      </c>
      <c r="G58" s="107">
        <f>RootCalculations!CC111</f>
        <v>35.90132553133049</v>
      </c>
      <c r="H58" s="105">
        <f ca="1">RootCalculations!Z111</f>
        <v>40.41369670844408</v>
      </c>
      <c r="I58" s="105">
        <f ca="1">RootCalculations!AY111</f>
        <v>41.23833792365039</v>
      </c>
      <c r="J58" s="105">
        <f ca="1">RootCalculations!BX111</f>
        <v>41.119690460803916</v>
      </c>
      <c r="K58" s="105">
        <f ca="1">RootCalculations!CG111</f>
        <v>39.30481757441425</v>
      </c>
      <c r="L58" s="13">
        <f ca="1">RootCalculations!V111</f>
        <v>17.4785</v>
      </c>
      <c r="M58" s="108">
        <f ca="1">RootCalculations!U111</f>
        <v>1.3</v>
      </c>
      <c r="N58" s="58">
        <f t="shared" si="8"/>
        <v>0</v>
      </c>
      <c r="O58" s="58">
        <f t="shared" si="10"/>
        <v>0.04793419860898762</v>
      </c>
      <c r="P58" s="58">
        <f t="shared" si="11"/>
        <v>0.024798882693764845</v>
      </c>
      <c r="Q58" s="58">
        <f t="shared" si="12"/>
        <v>0.05750559842996572</v>
      </c>
      <c r="R58" s="58">
        <v>0</v>
      </c>
      <c r="S58" s="58">
        <f ca="1" t="shared" si="13"/>
        <v>0.0204049934148689</v>
      </c>
      <c r="T58" s="58">
        <f ca="1" t="shared" si="14"/>
        <v>0.017469170352147678</v>
      </c>
      <c r="U58" s="58">
        <f ca="1" t="shared" si="15"/>
        <v>-0.027438201014611363</v>
      </c>
      <c r="W58" s="118" t="str">
        <f>$AA$9&amp;" "&amp;AB8</f>
        <v>End Rollover Tier</v>
      </c>
      <c r="X58" s="105">
        <f ca="1">H3</f>
        <v>52.77</v>
      </c>
      <c r="Y58" s="105">
        <f ca="1">H5</f>
        <v>34.91</v>
      </c>
      <c r="Z58" s="105">
        <f ca="1">X16</f>
        <v>34.91</v>
      </c>
    </row>
    <row r="59" spans="2:30" ht="12.75">
      <c r="B59" s="13">
        <f>RootCalculations!G58</f>
        <v>15.006</v>
      </c>
      <c r="C59" s="106" t="str">
        <f>RootCalculations!C58</f>
        <v>Columbia Basin Elec Coop</v>
      </c>
      <c r="D59" s="105">
        <f>RootCalculations!T58</f>
        <v>39.56319611313274</v>
      </c>
      <c r="E59" s="105">
        <f>RootCalculations!AS58</f>
        <v>36.58550479822729</v>
      </c>
      <c r="F59" s="105">
        <f>RootCalculations!BR58</f>
        <v>38.36301349154303</v>
      </c>
      <c r="G59" s="107">
        <f>RootCalculations!CC58</f>
        <v>35.90132553133049</v>
      </c>
      <c r="H59" s="105">
        <f ca="1">RootCalculations!Z58</f>
        <v>39.633813485150036</v>
      </c>
      <c r="I59" s="105">
        <f ca="1">RootCalculations!AY58</f>
        <v>36.56327713985408</v>
      </c>
      <c r="J59" s="105">
        <f ca="1">RootCalculations!BX58</f>
        <v>37.837921924488846</v>
      </c>
      <c r="K59" s="105">
        <f ca="1">RootCalculations!CG58</f>
        <v>39.30481757441425</v>
      </c>
      <c r="L59" s="13">
        <f ca="1">RootCalculations!V58</f>
        <v>14.55582</v>
      </c>
      <c r="M59" s="108">
        <f ca="1">RootCalculations!U58</f>
        <v>0.97</v>
      </c>
      <c r="N59" s="58">
        <f t="shared" si="8"/>
        <v>0</v>
      </c>
      <c r="O59" s="58">
        <f t="shared" si="10"/>
        <v>-0.07526417497693072</v>
      </c>
      <c r="P59" s="58">
        <f t="shared" si="11"/>
        <v>-0.030335835814622625</v>
      </c>
      <c r="Q59" s="58">
        <f t="shared" si="12"/>
        <v>-0.09255750145491193</v>
      </c>
      <c r="R59" s="58">
        <v>0</v>
      </c>
      <c r="S59" s="58">
        <f ca="1" t="shared" si="13"/>
        <v>-0.07747264457522918</v>
      </c>
      <c r="T59" s="58">
        <f ca="1" t="shared" si="14"/>
        <v>-0.04531210607160152</v>
      </c>
      <c r="U59" s="58">
        <f ca="1" t="shared" si="15"/>
        <v>-0.008300889614345386</v>
      </c>
      <c r="W59" s="118" t="str">
        <f>$AA$9&amp;" "&amp;AB9</f>
        <v>End NRU Proposal Tier</v>
      </c>
      <c r="X59" s="105">
        <f ca="1">I3</f>
        <v>47.1</v>
      </c>
      <c r="Y59" s="105">
        <f ca="1">I5</f>
        <v>36.38</v>
      </c>
      <c r="Z59" s="105">
        <f ca="1">X17</f>
        <v>36.38</v>
      </c>
      <c r="AB59" s="122"/>
      <c r="AC59" s="122"/>
      <c r="AD59" s="122"/>
    </row>
    <row r="60" spans="2:26" ht="12.75">
      <c r="B60" s="13">
        <f>RootCalculations!G119</f>
        <v>15.132</v>
      </c>
      <c r="C60" s="106" t="str">
        <f>RootCalculations!C119</f>
        <v>Salmon River Elec Coop</v>
      </c>
      <c r="D60" s="105">
        <f>RootCalculations!T119</f>
        <v>33.949064274110405</v>
      </c>
      <c r="E60" s="105">
        <f>RootCalculations!AS119</f>
        <v>35.5763854636149</v>
      </c>
      <c r="F60" s="105">
        <f>RootCalculations!BR119</f>
        <v>34.790963136607154</v>
      </c>
      <c r="G60" s="107">
        <f>RootCalculations!CC119</f>
        <v>35.90132553133049</v>
      </c>
      <c r="H60" s="105">
        <f ca="1">RootCalculations!Z119</f>
        <v>34.90901605903751</v>
      </c>
      <c r="I60" s="105">
        <f ca="1">RootCalculations!AY119</f>
        <v>38.807042137389324</v>
      </c>
      <c r="J60" s="105">
        <f ca="1">RootCalculations!BX119</f>
        <v>38.675211623115466</v>
      </c>
      <c r="K60" s="105">
        <f ca="1">RootCalculations!CG119</f>
        <v>39.30481757441425</v>
      </c>
      <c r="L60" s="13">
        <f ca="1">RootCalculations!V119</f>
        <v>17.704439999999998</v>
      </c>
      <c r="M60" s="108">
        <f ca="1">RootCalculations!U119</f>
        <v>1.17</v>
      </c>
      <c r="N60" s="58">
        <f t="shared" si="8"/>
        <v>0</v>
      </c>
      <c r="O60" s="58">
        <f t="shared" si="10"/>
        <v>0.04793419860898762</v>
      </c>
      <c r="P60" s="58">
        <f t="shared" si="11"/>
        <v>0.024798882693764845</v>
      </c>
      <c r="Q60" s="58">
        <f t="shared" si="12"/>
        <v>0.05750559842996572</v>
      </c>
      <c r="R60" s="58">
        <v>0</v>
      </c>
      <c r="S60" s="58">
        <f ca="1" t="shared" si="13"/>
        <v>0.11166244478960796</v>
      </c>
      <c r="T60" s="58">
        <f ca="1" t="shared" si="14"/>
        <v>0.10788604175232641</v>
      </c>
      <c r="U60" s="58">
        <f ca="1" t="shared" si="15"/>
        <v>0.1259216675698518</v>
      </c>
      <c r="W60" s="118" t="str">
        <f>$AA$9&amp;" "&amp;AB10</f>
        <v>End BPA Jan24 Tier</v>
      </c>
      <c r="X60" s="105">
        <f ca="1">J3</f>
        <v>49.53</v>
      </c>
      <c r="Y60" s="105">
        <f ca="1">J5</f>
        <v>35.06</v>
      </c>
      <c r="Z60" s="105">
        <f ca="1">X18</f>
        <v>35.06</v>
      </c>
    </row>
    <row r="61" spans="2:26" ht="12.75">
      <c r="B61" s="13">
        <f>RootCalculations!G93</f>
        <v>15.165</v>
      </c>
      <c r="C61" s="106" t="str">
        <f>RootCalculations!C93</f>
        <v>Lincoln Elec Coop (MT)</v>
      </c>
      <c r="D61" s="105">
        <f>RootCalculations!T93</f>
        <v>36.190023068746825</v>
      </c>
      <c r="E61" s="105">
        <f>RootCalculations!AS93</f>
        <v>35.5763854636149</v>
      </c>
      <c r="F61" s="105">
        <f>RootCalculations!BR93</f>
        <v>35.91095975570802</v>
      </c>
      <c r="G61" s="107">
        <f>RootCalculations!CC93</f>
        <v>35.90132553133049</v>
      </c>
      <c r="H61" s="105">
        <f ca="1">RootCalculations!Z93</f>
        <v>42.93103084808835</v>
      </c>
      <c r="I61" s="105">
        <f ca="1">RootCalculations!AY93</f>
        <v>41.91572054190066</v>
      </c>
      <c r="J61" s="105">
        <f ca="1">RootCalculations!BX93</f>
        <v>42.22654629501086</v>
      </c>
      <c r="K61" s="105">
        <f ca="1">RootCalculations!CG93</f>
        <v>39.30481757441425</v>
      </c>
      <c r="L61" s="13">
        <f ca="1">RootCalculations!V93</f>
        <v>19.56285</v>
      </c>
      <c r="M61" s="108">
        <f ca="1">RootCalculations!U93</f>
        <v>1.29</v>
      </c>
      <c r="N61" s="58">
        <f t="shared" si="8"/>
        <v>0</v>
      </c>
      <c r="O61" s="58">
        <f t="shared" si="10"/>
        <v>-0.016955988228199215</v>
      </c>
      <c r="P61" s="58">
        <f t="shared" si="11"/>
        <v>-0.007711056511588654</v>
      </c>
      <c r="Q61" s="58">
        <f t="shared" si="12"/>
        <v>-0.007977268676174099</v>
      </c>
      <c r="R61" s="58">
        <v>0</v>
      </c>
      <c r="S61" s="58">
        <f ca="1" t="shared" si="13"/>
        <v>-0.02364980029900443</v>
      </c>
      <c r="T61" s="58">
        <f ca="1" t="shared" si="14"/>
        <v>-0.016409681742101778</v>
      </c>
      <c r="U61" s="58">
        <f ca="1" t="shared" si="15"/>
        <v>-0.0844660191483747</v>
      </c>
      <c r="W61" s="118" t="str">
        <f>$AA$9&amp;" "&amp;AB11</f>
        <v>End Melded</v>
      </c>
      <c r="X61" s="105">
        <f ca="1">K3</f>
        <v>39.3</v>
      </c>
      <c r="Y61" s="105">
        <f ca="1">K5</f>
        <v>39.3</v>
      </c>
      <c r="Z61" s="105">
        <f ca="1">X19</f>
        <v>39.3</v>
      </c>
    </row>
    <row r="62" spans="2:21" ht="13.5" thickBot="1">
      <c r="B62" s="13">
        <f>RootCalculations!G83</f>
        <v>15.607</v>
      </c>
      <c r="C62" s="106" t="str">
        <f>RootCalculations!C83</f>
        <v>Hood River Elec Coop</v>
      </c>
      <c r="D62" s="105">
        <f>RootCalculations!T83</f>
        <v>38.63674972298149</v>
      </c>
      <c r="E62" s="105">
        <f>RootCalculations!AS83</f>
        <v>35.61392007132002</v>
      </c>
      <c r="F62" s="105">
        <f>RootCalculations!BR83</f>
        <v>37.17640525294473</v>
      </c>
      <c r="G62" s="107">
        <f>RootCalculations!CC83</f>
        <v>35.90132553133049</v>
      </c>
      <c r="H62" s="105">
        <f ca="1">RootCalculations!Z83</f>
        <v>45.045526731121946</v>
      </c>
      <c r="I62" s="105">
        <f ca="1">RootCalculations!AY83</f>
        <v>42.73584135203558</v>
      </c>
      <c r="J62" s="105">
        <f ca="1">RootCalculations!BX83</f>
        <v>43.50241339297295</v>
      </c>
      <c r="K62" s="105">
        <f ca="1">RootCalculations!CG83</f>
        <v>39.30481757441425</v>
      </c>
      <c r="L62" s="13">
        <f ca="1">RootCalculations!V83</f>
        <v>20.44517</v>
      </c>
      <c r="M62" s="108">
        <f ca="1">RootCalculations!U83</f>
        <v>1.31</v>
      </c>
      <c r="N62" s="58">
        <f t="shared" si="8"/>
        <v>0</v>
      </c>
      <c r="O62" s="58">
        <f t="shared" si="10"/>
        <v>-0.07823716211468656</v>
      </c>
      <c r="P62" s="58">
        <f t="shared" si="11"/>
        <v>-0.03779677329245257</v>
      </c>
      <c r="Q62" s="58">
        <f t="shared" si="12"/>
        <v>-0.07079850689469214</v>
      </c>
      <c r="R62" s="58">
        <v>0</v>
      </c>
      <c r="S62" s="58">
        <f ca="1" t="shared" si="13"/>
        <v>-0.0512744671157459</v>
      </c>
      <c r="T62" s="58">
        <f ca="1" t="shared" si="14"/>
        <v>-0.03425674978472082</v>
      </c>
      <c r="U62" s="58">
        <f ca="1" t="shared" si="15"/>
        <v>-0.12744238048262047</v>
      </c>
    </row>
    <row r="63" spans="2:27" ht="12.75">
      <c r="B63" s="13">
        <f>RootCalculations!G121</f>
        <v>15.917</v>
      </c>
      <c r="C63" s="106" t="str">
        <f>RootCalculations!C121</f>
        <v>Skamania County PUD #1</v>
      </c>
      <c r="D63" s="105">
        <f>RootCalculations!T121</f>
        <v>33.96739117976216</v>
      </c>
      <c r="E63" s="105">
        <f>RootCalculations!AS121</f>
        <v>35.5763854636149</v>
      </c>
      <c r="F63" s="105">
        <f>RootCalculations!BR121</f>
        <v>34.790963136607154</v>
      </c>
      <c r="G63" s="107">
        <f>RootCalculations!CC121</f>
        <v>35.90132553133049</v>
      </c>
      <c r="H63" s="105">
        <f ca="1">RootCalculations!Z121</f>
        <v>37.015129505787534</v>
      </c>
      <c r="I63" s="105">
        <f ca="1">RootCalculations!AY121</f>
        <v>36.78923618548201</v>
      </c>
      <c r="J63" s="105">
        <f ca="1">RootCalculations!BX121</f>
        <v>36.65062402427919</v>
      </c>
      <c r="K63" s="105">
        <f ca="1">RootCalculations!CG121</f>
        <v>39.30481757441425</v>
      </c>
      <c r="L63" s="13">
        <f ca="1">RootCalculations!V121</f>
        <v>17.190360000000002</v>
      </c>
      <c r="M63" s="108">
        <f ca="1">RootCalculations!U121</f>
        <v>1.08</v>
      </c>
      <c r="N63" s="58">
        <f t="shared" si="8"/>
        <v>0</v>
      </c>
      <c r="O63" s="58">
        <f t="shared" si="10"/>
        <v>0.047368791890364026</v>
      </c>
      <c r="P63" s="58">
        <f t="shared" si="11"/>
        <v>0.02424595849844602</v>
      </c>
      <c r="Q63" s="58">
        <f t="shared" si="12"/>
        <v>0.05693502751899815</v>
      </c>
      <c r="R63" s="58">
        <v>0</v>
      </c>
      <c r="S63" s="58">
        <f ca="1" t="shared" si="13"/>
        <v>-0.00610272943311474</v>
      </c>
      <c r="T63" s="58">
        <f ca="1" t="shared" si="14"/>
        <v>-0.009847472813822034</v>
      </c>
      <c r="U63" s="58">
        <f ca="1" t="shared" si="15"/>
        <v>0.0618581671656373</v>
      </c>
      <c r="W63" s="134" t="s">
        <v>250</v>
      </c>
      <c r="X63" s="135"/>
      <c r="Y63" s="135"/>
      <c r="Z63" s="135"/>
      <c r="AA63" s="136"/>
    </row>
    <row r="64" spans="2:29" ht="12.75">
      <c r="B64" s="13">
        <f>RootCalculations!G148</f>
        <v>16.887</v>
      </c>
      <c r="C64" s="106" t="str">
        <f>RootCalculations!C148</f>
        <v>Port of Seattle - SETAC In'tl. Airport</v>
      </c>
      <c r="D64" s="105">
        <f>RootCalculations!T148</f>
        <v>33.949064274110405</v>
      </c>
      <c r="E64" s="105">
        <f>RootCalculations!AS148</f>
        <v>35.5763854636149</v>
      </c>
      <c r="F64" s="105">
        <f>RootCalculations!BR148</f>
        <v>34.790963136607154</v>
      </c>
      <c r="G64" s="107">
        <f>RootCalculations!CC148</f>
        <v>35.90132553133049</v>
      </c>
      <c r="H64" s="105">
        <f ca="1">RootCalculations!Z148</f>
        <v>34.90901605903751</v>
      </c>
      <c r="I64" s="105">
        <f ca="1">RootCalculations!AY148</f>
        <v>36.38031310262951</v>
      </c>
      <c r="J64" s="105">
        <f ca="1">RootCalculations!BX148</f>
        <v>35.05800570624853</v>
      </c>
      <c r="K64" s="105">
        <f ca="1">RootCalculations!CG148</f>
        <v>39.30481757441425</v>
      </c>
      <c r="L64" s="13">
        <f ca="1">RootCalculations!V148</f>
        <v>16.887</v>
      </c>
      <c r="M64" s="108">
        <f ca="1">RootCalculations!U148</f>
        <v>1</v>
      </c>
      <c r="N64" s="58">
        <f t="shared" si="8"/>
        <v>0</v>
      </c>
      <c r="O64" s="58">
        <f t="shared" si="10"/>
        <v>0.04793419860898762</v>
      </c>
      <c r="P64" s="58">
        <f t="shared" si="11"/>
        <v>0.024798882693764845</v>
      </c>
      <c r="Q64" s="58">
        <f t="shared" si="12"/>
        <v>0.05750559842996572</v>
      </c>
      <c r="R64" s="58">
        <v>0</v>
      </c>
      <c r="S64" s="58">
        <f ca="1" t="shared" si="13"/>
        <v>0.0421466202629075</v>
      </c>
      <c r="T64" s="58">
        <f ca="1" t="shared" si="14"/>
        <v>0.0042679417534727815</v>
      </c>
      <c r="U64" s="58">
        <f ca="1" t="shared" si="15"/>
        <v>0.1259216675698518</v>
      </c>
      <c r="W64" s="114" t="str">
        <f>"Start Rate Design and System Size Quantities | TRL = "&amp;X10&amp;" aMW"</f>
        <v>Start Rate Design and System Size Quantities | TRL = 7153 aMW</v>
      </c>
      <c r="X64" s="111"/>
      <c r="Y64" s="111"/>
      <c r="Z64" s="111"/>
      <c r="AA64" s="112"/>
      <c r="AC64" s="55"/>
    </row>
    <row r="65" spans="2:27" ht="12.75">
      <c r="B65" s="13">
        <f>RootCalculations!G31</f>
        <v>17.511</v>
      </c>
      <c r="C65" s="106" t="str">
        <f>RootCalculations!C31</f>
        <v>Burley, City of</v>
      </c>
      <c r="D65" s="105">
        <f>RootCalculations!T31</f>
        <v>39.69129575415959</v>
      </c>
      <c r="E65" s="105">
        <f>RootCalculations!AS31</f>
        <v>36.70256248064156</v>
      </c>
      <c r="F65" s="105">
        <f>RootCalculations!BR31</f>
        <v>38.51005539087963</v>
      </c>
      <c r="G65" s="107">
        <f>RootCalculations!CC31</f>
        <v>35.90132553133049</v>
      </c>
      <c r="H65" s="105">
        <f ca="1">RootCalculations!Z31</f>
        <v>40.46228324220795</v>
      </c>
      <c r="I65" s="105">
        <f ca="1">RootCalculations!AY31</f>
        <v>37.47361989381073</v>
      </c>
      <c r="J65" s="105">
        <f ca="1">RootCalculations!BX31</f>
        <v>38.7420400813173</v>
      </c>
      <c r="K65" s="105">
        <f ca="1">RootCalculations!CG31</f>
        <v>39.30481757441425</v>
      </c>
      <c r="L65" s="13">
        <f ca="1">RootCalculations!V31</f>
        <v>17.511</v>
      </c>
      <c r="M65" s="108">
        <f ca="1">RootCalculations!U31</f>
        <v>1</v>
      </c>
      <c r="N65" s="58">
        <f t="shared" si="8"/>
        <v>0</v>
      </c>
      <c r="O65" s="58">
        <f t="shared" si="10"/>
        <v>-0.07529946343978489</v>
      </c>
      <c r="P65" s="58">
        <f t="shared" si="11"/>
        <v>-0.02976069036889961</v>
      </c>
      <c r="Q65" s="58">
        <f t="shared" si="12"/>
        <v>-0.09548618030269052</v>
      </c>
      <c r="R65" s="58">
        <v>0</v>
      </c>
      <c r="S65" s="58">
        <f ca="1" t="shared" si="13"/>
        <v>-0.07386294368281277</v>
      </c>
      <c r="T65" s="58">
        <f ca="1" t="shared" si="14"/>
        <v>-0.04251473280915086</v>
      </c>
      <c r="U65" s="58">
        <f ca="1" t="shared" si="15"/>
        <v>-0.028606039379070358</v>
      </c>
      <c r="W65" s="114" t="str">
        <f ca="1">"End Rate Design and System Size Quantities | TRL = "&amp;X11&amp;" aMW | Total Load Change = "&amp;X12*100&amp;"%"</f>
        <v>End Rate Design and System Size Quantities | TRL = 8175 aMW | Total Load Change = 114%</v>
      </c>
      <c r="X65" s="111"/>
      <c r="Y65" s="111"/>
      <c r="Z65" s="111"/>
      <c r="AA65" s="112"/>
    </row>
    <row r="66" spans="2:27" ht="12.75">
      <c r="B66" s="13">
        <f>RootCalculations!G79</f>
        <v>17.694</v>
      </c>
      <c r="C66" s="106" t="str">
        <f>RootCalculations!C79</f>
        <v>Glacier Elec  Coop</v>
      </c>
      <c r="D66" s="105">
        <f>RootCalculations!T79</f>
        <v>33.949064274110405</v>
      </c>
      <c r="E66" s="105">
        <f>RootCalculations!AS79</f>
        <v>35.5763854636149</v>
      </c>
      <c r="F66" s="105">
        <f>RootCalculations!BR79</f>
        <v>34.790963136607154</v>
      </c>
      <c r="G66" s="107">
        <f>RootCalculations!CC79</f>
        <v>35.90132553133049</v>
      </c>
      <c r="H66" s="105">
        <f ca="1">RootCalculations!Z79</f>
        <v>34.90901605903751</v>
      </c>
      <c r="I66" s="105">
        <f ca="1">RootCalculations!AY79</f>
        <v>36.38031310262951</v>
      </c>
      <c r="J66" s="105">
        <f ca="1">RootCalculations!BX79</f>
        <v>35.05800570624853</v>
      </c>
      <c r="K66" s="105">
        <f ca="1">RootCalculations!CG79</f>
        <v>39.30481757441425</v>
      </c>
      <c r="L66" s="13">
        <f ca="1">RootCalculations!V79</f>
        <v>17.163179999999997</v>
      </c>
      <c r="M66" s="108">
        <f ca="1">RootCalculations!U79</f>
        <v>0.97</v>
      </c>
      <c r="N66" s="58">
        <f t="shared" si="8"/>
        <v>0</v>
      </c>
      <c r="O66" s="58">
        <f t="shared" si="10"/>
        <v>0.04793419860898762</v>
      </c>
      <c r="P66" s="58">
        <f t="shared" si="11"/>
        <v>0.024798882693764845</v>
      </c>
      <c r="Q66" s="58">
        <f t="shared" si="12"/>
        <v>0.05750559842996572</v>
      </c>
      <c r="R66" s="58">
        <v>0</v>
      </c>
      <c r="S66" s="58">
        <f ca="1" t="shared" si="13"/>
        <v>0.0421466202629075</v>
      </c>
      <c r="T66" s="58">
        <f ca="1" t="shared" si="14"/>
        <v>0.0042679417534727815</v>
      </c>
      <c r="U66" s="58">
        <f ca="1" t="shared" si="15"/>
        <v>0.1259216675698518</v>
      </c>
      <c r="W66" s="114"/>
      <c r="X66" s="125" t="s">
        <v>251</v>
      </c>
      <c r="Y66" s="125" t="s">
        <v>252</v>
      </c>
      <c r="Z66" s="125" t="s">
        <v>253</v>
      </c>
      <c r="AA66" s="126" t="s">
        <v>254</v>
      </c>
    </row>
    <row r="67" spans="2:27" ht="12.75">
      <c r="B67" s="13">
        <f>RootCalculations!G34</f>
        <v>17.911</v>
      </c>
      <c r="C67" s="106" t="str">
        <f>RootCalculations!C34</f>
        <v>Cheney, City of</v>
      </c>
      <c r="D67" s="105">
        <f>RootCalculations!T34</f>
        <v>37.35947907004658</v>
      </c>
      <c r="E67" s="105">
        <f>RootCalculations!AS34</f>
        <v>35.5763854636149</v>
      </c>
      <c r="F67" s="105">
        <f>RootCalculations!BR34</f>
        <v>36.77263264574514</v>
      </c>
      <c r="G67" s="107">
        <f>RootCalculations!CC34</f>
        <v>35.90132553133049</v>
      </c>
      <c r="H67" s="105">
        <f ca="1">RootCalculations!Z34</f>
        <v>40.05259403003929</v>
      </c>
      <c r="I67" s="105">
        <f ca="1">RootCalculations!AY34</f>
        <v>38.31474693417118</v>
      </c>
      <c r="J67" s="105">
        <f ca="1">RootCalculations!BX34</f>
        <v>38.95425470782452</v>
      </c>
      <c r="K67" s="105">
        <f ca="1">RootCalculations!CG34</f>
        <v>39.30481757441425</v>
      </c>
      <c r="L67" s="13">
        <f ca="1">RootCalculations!V34</f>
        <v>19.343880000000002</v>
      </c>
      <c r="M67" s="108">
        <f ca="1">RootCalculations!U34</f>
        <v>1.08</v>
      </c>
      <c r="N67" s="58">
        <f t="shared" si="8"/>
        <v>0</v>
      </c>
      <c r="O67" s="58">
        <f t="shared" si="10"/>
        <v>-0.04772801042242858</v>
      </c>
      <c r="P67" s="58">
        <f t="shared" si="11"/>
        <v>-0.015708099762342553</v>
      </c>
      <c r="Q67" s="58">
        <f t="shared" si="12"/>
        <v>-0.03903034986066445</v>
      </c>
      <c r="R67" s="58">
        <v>0</v>
      </c>
      <c r="S67" s="58">
        <f ca="1" t="shared" si="13"/>
        <v>-0.043389127170258335</v>
      </c>
      <c r="T67" s="58">
        <f ca="1" t="shared" si="14"/>
        <v>-0.027422426657085386</v>
      </c>
      <c r="U67" s="58">
        <f ca="1" t="shared" si="15"/>
        <v>-0.018669863306836176</v>
      </c>
      <c r="W67" s="123" t="str">
        <f>$AA$8&amp;" "&amp;AB8</f>
        <v>Start Rollover Tier</v>
      </c>
      <c r="X67" s="127">
        <f>X42</f>
        <v>0</v>
      </c>
      <c r="Y67" s="127">
        <f>ROUND(RootCalculations!R14,0)</f>
        <v>479</v>
      </c>
      <c r="Z67" s="127">
        <f>ROUND(RootCalculations!S14,0)</f>
        <v>389</v>
      </c>
      <c r="AA67" s="128">
        <f>ROUND(RootCalculations!S10,)</f>
        <v>389</v>
      </c>
    </row>
    <row r="68" spans="2:27" ht="12.75">
      <c r="B68" s="13">
        <f>RootCalculations!G125</f>
        <v>18.394</v>
      </c>
      <c r="C68" s="106" t="str">
        <f>RootCalculations!C125</f>
        <v>Surprise Valley Elec Coop</v>
      </c>
      <c r="D68" s="105">
        <f>RootCalculations!T125</f>
        <v>37.0605884610298</v>
      </c>
      <c r="E68" s="105">
        <f>RootCalculations!AS125</f>
        <v>35.5763854636149</v>
      </c>
      <c r="F68" s="105">
        <f>RootCalculations!BR125</f>
        <v>36.55720553960284</v>
      </c>
      <c r="G68" s="107">
        <f>RootCalculations!CC125</f>
        <v>35.90132553133049</v>
      </c>
      <c r="H68" s="105">
        <f ca="1">RootCalculations!Z125</f>
        <v>39.11823502912981</v>
      </c>
      <c r="I68" s="105">
        <f ca="1">RootCalculations!AY125</f>
        <v>37.47328309665583</v>
      </c>
      <c r="J68" s="105">
        <f ca="1">RootCalculations!BX125</f>
        <v>38.060570184368636</v>
      </c>
      <c r="K68" s="105">
        <f ca="1">RootCalculations!CG125</f>
        <v>39.30481757441425</v>
      </c>
      <c r="L68" s="13">
        <f ca="1">RootCalculations!V125</f>
        <v>19.3137</v>
      </c>
      <c r="M68" s="108">
        <f ca="1">RootCalculations!U125</f>
        <v>1.05</v>
      </c>
      <c r="N68" s="58">
        <f t="shared" si="8"/>
        <v>0</v>
      </c>
      <c r="O68" s="58">
        <f t="shared" si="10"/>
        <v>-0.04004801486019527</v>
      </c>
      <c r="P68" s="58">
        <f t="shared" si="11"/>
        <v>-0.013582701795366359</v>
      </c>
      <c r="Q68" s="58">
        <f t="shared" si="12"/>
        <v>-0.03128020837872836</v>
      </c>
      <c r="R68" s="58">
        <v>0</v>
      </c>
      <c r="S68" s="58">
        <f ca="1" t="shared" si="13"/>
        <v>-0.04205077072748953</v>
      </c>
      <c r="T68" s="58">
        <f ca="1" t="shared" si="14"/>
        <v>-0.027037642265137385</v>
      </c>
      <c r="U68" s="58">
        <f ca="1" t="shared" si="15"/>
        <v>0.004769707660519318</v>
      </c>
      <c r="W68" s="123" t="str">
        <f>$AA$8&amp;" "&amp;AB9</f>
        <v>Start NRU Proposal Tier</v>
      </c>
      <c r="X68" s="127">
        <f>X43</f>
        <v>5</v>
      </c>
      <c r="Y68" s="127">
        <f>ROUND(RootCalculations!AQ14,0)</f>
        <v>84</v>
      </c>
      <c r="Z68" s="127">
        <f>ROUND(RootCalculations!AR14,0)</f>
        <v>431</v>
      </c>
      <c r="AA68" s="128">
        <f>ROUND(RootCalculations!AR10,0)</f>
        <v>0</v>
      </c>
    </row>
    <row r="69" spans="2:27" ht="12.75">
      <c r="B69" s="13">
        <f>RootCalculations!G66</f>
        <v>18.434</v>
      </c>
      <c r="C69" s="106" t="str">
        <f>RootCalculations!C66</f>
        <v>Douglas Electric Cooperative</v>
      </c>
      <c r="D69" s="105">
        <f>RootCalculations!T66</f>
        <v>33.949064274110405</v>
      </c>
      <c r="E69" s="105">
        <f>RootCalculations!AS66</f>
        <v>35.5763854636149</v>
      </c>
      <c r="F69" s="105">
        <f>RootCalculations!BR66</f>
        <v>34.790963136607154</v>
      </c>
      <c r="G69" s="107">
        <f>RootCalculations!CC66</f>
        <v>35.90132553133049</v>
      </c>
      <c r="H69" s="105">
        <f ca="1">RootCalculations!Z66</f>
        <v>37.790881382149955</v>
      </c>
      <c r="I69" s="105">
        <f ca="1">RootCalculations!AY66</f>
        <v>37.71957553341331</v>
      </c>
      <c r="J69" s="105">
        <f ca="1">RootCalculations!BX66</f>
        <v>37.58184852219868</v>
      </c>
      <c r="K69" s="105">
        <f ca="1">RootCalculations!CG66</f>
        <v>39.30481757441425</v>
      </c>
      <c r="L69" s="13">
        <f ca="1">RootCalculations!V66</f>
        <v>20.646080000000005</v>
      </c>
      <c r="M69" s="108">
        <f ca="1">RootCalculations!U66</f>
        <v>1.12</v>
      </c>
      <c r="N69" s="58">
        <f t="shared" si="8"/>
        <v>0</v>
      </c>
      <c r="O69" s="58">
        <f t="shared" si="10"/>
        <v>0.04793419860898762</v>
      </c>
      <c r="P69" s="58">
        <f t="shared" si="11"/>
        <v>0.024798882693764845</v>
      </c>
      <c r="Q69" s="58">
        <f t="shared" si="12"/>
        <v>0.05750559842996572</v>
      </c>
      <c r="R69" s="58">
        <v>0</v>
      </c>
      <c r="S69" s="58">
        <f ca="1" t="shared" si="13"/>
        <v>-0.0018868532865264909</v>
      </c>
      <c r="T69" s="58">
        <f ca="1" t="shared" si="14"/>
        <v>-0.005531304174609897</v>
      </c>
      <c r="U69" s="58">
        <f ca="1" t="shared" si="15"/>
        <v>0.04006088603637026</v>
      </c>
      <c r="W69" s="123" t="str">
        <f>$AA$8&amp;" "&amp;AB10</f>
        <v>Start BPA Jan24 Tier</v>
      </c>
      <c r="X69" s="127">
        <f>X44</f>
        <v>0</v>
      </c>
      <c r="Y69" s="127">
        <f>ROUND(RootCalculations!BP14,0)</f>
        <v>280</v>
      </c>
      <c r="Z69" s="127">
        <f>ROUND(RootCalculations!BQ14,0)</f>
        <v>191</v>
      </c>
      <c r="AA69" s="128">
        <f>ROUND(RootCalculations!BQ10,0)</f>
        <v>191</v>
      </c>
    </row>
    <row r="70" spans="2:27" ht="12.75">
      <c r="B70" s="13">
        <f>RootCalculations!G145</f>
        <v>18.718</v>
      </c>
      <c r="C70" s="106" t="str">
        <f>RootCalculations!C145</f>
        <v>Yakama Power</v>
      </c>
      <c r="D70" s="105">
        <f>RootCalculations!T145</f>
        <v>33.96620714690583</v>
      </c>
      <c r="E70" s="105">
        <f>RootCalculations!AS145</f>
        <v>35.5763854636149</v>
      </c>
      <c r="F70" s="105">
        <f>RootCalculations!BR145</f>
        <v>34.790963136607154</v>
      </c>
      <c r="G70" s="107">
        <f>RootCalculations!CC145</f>
        <v>35.90132553133049</v>
      </c>
      <c r="H70" s="105">
        <f ca="1">RootCalculations!Z145</f>
        <v>40.564475837863654</v>
      </c>
      <c r="I70" s="105">
        <f ca="1">RootCalculations!AY145</f>
        <v>40.36975821840796</v>
      </c>
      <c r="J70" s="105">
        <f ca="1">RootCalculations!BX145</f>
        <v>40.24976263185101</v>
      </c>
      <c r="K70" s="105">
        <f ca="1">RootCalculations!CG145</f>
        <v>39.30481757441425</v>
      </c>
      <c r="L70" s="13">
        <f ca="1">RootCalculations!V145</f>
        <v>23.3975</v>
      </c>
      <c r="M70" s="108">
        <f ca="1">RootCalculations!U145</f>
        <v>1.25</v>
      </c>
      <c r="N70" s="58">
        <f t="shared" si="8"/>
        <v>0</v>
      </c>
      <c r="O70" s="58">
        <f t="shared" si="10"/>
        <v>0.04740530226836781</v>
      </c>
      <c r="P70" s="58">
        <f t="shared" si="11"/>
        <v>0.024281662834304774</v>
      </c>
      <c r="Q70" s="58">
        <f t="shared" si="12"/>
        <v>0.056971871367773375</v>
      </c>
      <c r="R70" s="58">
        <v>0</v>
      </c>
      <c r="S70" s="58">
        <f ca="1" t="shared" si="13"/>
        <v>-0.004800200555628575</v>
      </c>
      <c r="T70" s="58">
        <f ca="1" t="shared" si="14"/>
        <v>-0.007758345190273186</v>
      </c>
      <c r="U70" s="58">
        <f ca="1" t="shared" si="15"/>
        <v>-0.031053236543330698</v>
      </c>
      <c r="W70" s="123" t="str">
        <f>$AA$8&amp;" "&amp;AB11</f>
        <v>Start Melded</v>
      </c>
      <c r="X70" s="129">
        <f>X45</f>
        <v>90</v>
      </c>
      <c r="Y70" s="129" t="s">
        <v>245</v>
      </c>
      <c r="Z70" s="129" t="s">
        <v>245</v>
      </c>
      <c r="AA70" s="131">
        <f>ROUND(RootCalculations!CC10,0)</f>
        <v>0</v>
      </c>
    </row>
    <row r="71" spans="2:27" ht="12.75">
      <c r="B71" s="13">
        <f>RootCalculations!G27</f>
        <v>19.99</v>
      </c>
      <c r="C71" s="106" t="str">
        <f>RootCalculations!C27</f>
        <v>Ashland, City of</v>
      </c>
      <c r="D71" s="105">
        <f>RootCalculations!T27</f>
        <v>33.949064274110405</v>
      </c>
      <c r="E71" s="105">
        <f>RootCalculations!AS27</f>
        <v>35.5763854636149</v>
      </c>
      <c r="F71" s="105">
        <f>RootCalculations!BR27</f>
        <v>34.790963136607154</v>
      </c>
      <c r="G71" s="107">
        <f>RootCalculations!CC27</f>
        <v>35.90132553133049</v>
      </c>
      <c r="H71" s="105">
        <f ca="1">RootCalculations!Z27</f>
        <v>34.90901605903751</v>
      </c>
      <c r="I71" s="105">
        <f ca="1">RootCalculations!AY27</f>
        <v>36.38031310262951</v>
      </c>
      <c r="J71" s="105">
        <f ca="1">RootCalculations!BX27</f>
        <v>35.05800570624853</v>
      </c>
      <c r="K71" s="105">
        <f ca="1">RootCalculations!CG27</f>
        <v>39.30481757441425</v>
      </c>
      <c r="L71" s="13">
        <f ca="1">RootCalculations!V27</f>
        <v>19.5902</v>
      </c>
      <c r="M71" s="108">
        <f ca="1">RootCalculations!U27</f>
        <v>0.98</v>
      </c>
      <c r="N71" s="58">
        <f t="shared" si="8"/>
        <v>0</v>
      </c>
      <c r="O71" s="58">
        <f aca="true" t="shared" si="16" ref="O71:O102">E71/$D71-1</f>
        <v>0.04793419860898762</v>
      </c>
      <c r="P71" s="58">
        <f aca="true" t="shared" si="17" ref="P71:P102">F71/$D71-1</f>
        <v>0.024798882693764845</v>
      </c>
      <c r="Q71" s="58">
        <f aca="true" t="shared" si="18" ref="Q71:Q102">G71/$D71-1</f>
        <v>0.05750559842996572</v>
      </c>
      <c r="R71" s="58">
        <v>0</v>
      </c>
      <c r="S71" s="58">
        <f aca="true" t="shared" si="19" ref="S71:S102">I71/$H71-1</f>
        <v>0.0421466202629075</v>
      </c>
      <c r="T71" s="58">
        <f aca="true" t="shared" si="20" ref="T71:T102">J71/$H71-1</f>
        <v>0.0042679417534727815</v>
      </c>
      <c r="U71" s="58">
        <f aca="true" t="shared" si="21" ref="U71:U102">K71/$H71-1</f>
        <v>0.1259216675698518</v>
      </c>
      <c r="W71" s="114"/>
      <c r="X71" s="125" t="s">
        <v>251</v>
      </c>
      <c r="Y71" s="125" t="s">
        <v>252</v>
      </c>
      <c r="Z71" s="125" t="s">
        <v>253</v>
      </c>
      <c r="AA71" s="126" t="s">
        <v>254</v>
      </c>
    </row>
    <row r="72" spans="2:27" ht="12.75">
      <c r="B72" s="13">
        <f>RootCalculations!G22</f>
        <v>21.674</v>
      </c>
      <c r="C72" s="106" t="str">
        <f>RootCalculations!C22</f>
        <v>Blachly Lane Elec Coop</v>
      </c>
      <c r="D72" s="105">
        <f>RootCalculations!T22</f>
        <v>39.41070758755785</v>
      </c>
      <c r="E72" s="105">
        <f>RootCalculations!AS22</f>
        <v>36.561640976922966</v>
      </c>
      <c r="F72" s="105">
        <f>RootCalculations!BR22</f>
        <v>38.30176670712937</v>
      </c>
      <c r="G72" s="107">
        <f>RootCalculations!CC22</f>
        <v>35.90132553133049</v>
      </c>
      <c r="H72" s="105">
        <f ca="1">RootCalculations!Z22</f>
        <v>41.69096132650451</v>
      </c>
      <c r="I72" s="105">
        <f ca="1">RootCalculations!AY22</f>
        <v>39.023562175928326</v>
      </c>
      <c r="J72" s="105">
        <f ca="1">RootCalculations!BX22</f>
        <v>40.14403254465748</v>
      </c>
      <c r="K72" s="105">
        <f ca="1">RootCalculations!CG22</f>
        <v>39.30481757441425</v>
      </c>
      <c r="L72" s="13">
        <f ca="1">RootCalculations!V22</f>
        <v>23.19118</v>
      </c>
      <c r="M72" s="108">
        <f ca="1">RootCalculations!U22</f>
        <v>1.07</v>
      </c>
      <c r="N72" s="58">
        <f t="shared" si="8"/>
        <v>0</v>
      </c>
      <c r="O72" s="58">
        <f t="shared" si="16"/>
        <v>-0.0722916888590539</v>
      </c>
      <c r="P72" s="58">
        <f t="shared" si="17"/>
        <v>-0.02813806065178548</v>
      </c>
      <c r="Q72" s="58">
        <f t="shared" si="18"/>
        <v>-0.08904641076110209</v>
      </c>
      <c r="R72" s="58">
        <v>0</v>
      </c>
      <c r="S72" s="58">
        <f ca="1" t="shared" si="19"/>
        <v>-0.06398027451769062</v>
      </c>
      <c r="T72" s="58">
        <f ca="1" t="shared" si="20"/>
        <v>-0.03710465608437741</v>
      </c>
      <c r="U72" s="58">
        <f ca="1" t="shared" si="21"/>
        <v>-0.05723407847094408</v>
      </c>
      <c r="W72" s="123" t="str">
        <f>$AA$9&amp;" "&amp;AB8</f>
        <v>End Rollover Tier</v>
      </c>
      <c r="X72" s="130">
        <f ca="1">X22</f>
        <v>0</v>
      </c>
      <c r="Y72" s="130">
        <f ca="1">X28</f>
        <v>1274</v>
      </c>
      <c r="Z72" s="130">
        <f ca="1">Y34</f>
        <v>162</v>
      </c>
      <c r="AA72" s="128">
        <f ca="1">X34</f>
        <v>162</v>
      </c>
    </row>
    <row r="73" spans="2:27" ht="12.75">
      <c r="B73" s="13">
        <f>RootCalculations!G116</f>
        <v>21.994</v>
      </c>
      <c r="C73" s="106" t="str">
        <f>RootCalculations!C116</f>
        <v>Ravalli County Elec Coop</v>
      </c>
      <c r="D73" s="105">
        <f>RootCalculations!T116</f>
        <v>38.56330840388989</v>
      </c>
      <c r="E73" s="105">
        <f>RootCalculations!AS116</f>
        <v>36.13404815688813</v>
      </c>
      <c r="F73" s="105">
        <f>RootCalculations!BR116</f>
        <v>37.67074874638049</v>
      </c>
      <c r="G73" s="107">
        <f>RootCalculations!CC116</f>
        <v>35.90132553133049</v>
      </c>
      <c r="H73" s="105">
        <f ca="1">RootCalculations!Z116</f>
        <v>44.85185807084029</v>
      </c>
      <c r="I73" s="105">
        <f ca="1">RootCalculations!AY116</f>
        <v>42.9674608066501</v>
      </c>
      <c r="J73" s="105">
        <f ca="1">RootCalculations!BX116</f>
        <v>43.728188560323716</v>
      </c>
      <c r="K73" s="105">
        <f ca="1">RootCalculations!CG116</f>
        <v>39.30481757441425</v>
      </c>
      <c r="L73" s="13">
        <f ca="1">RootCalculations!V116</f>
        <v>28.592200000000002</v>
      </c>
      <c r="M73" s="108">
        <f ca="1">RootCalculations!U116</f>
        <v>1.3</v>
      </c>
      <c r="N73" s="58">
        <f aca="true" t="shared" si="22" ref="N73:N136">N72</f>
        <v>0</v>
      </c>
      <c r="O73" s="58">
        <f t="shared" si="16"/>
        <v>-0.06299408291319541</v>
      </c>
      <c r="P73" s="58">
        <f t="shared" si="17"/>
        <v>-0.023145308181581448</v>
      </c>
      <c r="Q73" s="58">
        <f t="shared" si="18"/>
        <v>-0.06902890293227237</v>
      </c>
      <c r="R73" s="58">
        <v>0</v>
      </c>
      <c r="S73" s="58">
        <f ca="1" t="shared" si="19"/>
        <v>-0.042013806010308796</v>
      </c>
      <c r="T73" s="58">
        <f ca="1" t="shared" si="20"/>
        <v>-0.025052908816883712</v>
      </c>
      <c r="U73" s="58">
        <f ca="1" t="shared" si="21"/>
        <v>-0.12367470903133782</v>
      </c>
      <c r="W73" s="123" t="str">
        <f>$AA$9&amp;" "&amp;AB9</f>
        <v>End NRU Proposal Tier</v>
      </c>
      <c r="X73" s="130">
        <f ca="1">X23</f>
        <v>218</v>
      </c>
      <c r="Y73" s="130">
        <f ca="1">X29</f>
        <v>894</v>
      </c>
      <c r="Z73" s="130">
        <f ca="1">Y35</f>
        <v>219</v>
      </c>
      <c r="AA73" s="128">
        <f ca="1">X35</f>
        <v>0</v>
      </c>
    </row>
    <row r="74" spans="2:27" ht="12.75">
      <c r="B74" s="13">
        <f>RootCalculations!G23</f>
        <v>24.05</v>
      </c>
      <c r="C74" s="106" t="str">
        <f>RootCalculations!C23</f>
        <v>Canby, City of</v>
      </c>
      <c r="D74" s="105">
        <f>RootCalculations!T23</f>
        <v>38.486630617168736</v>
      </c>
      <c r="E74" s="105">
        <f>RootCalculations!AS23</f>
        <v>36.09753617237577</v>
      </c>
      <c r="F74" s="105">
        <f>RootCalculations!BR23</f>
        <v>37.615797736386995</v>
      </c>
      <c r="G74" s="107">
        <f>RootCalculations!CC23</f>
        <v>35.90132553133049</v>
      </c>
      <c r="H74" s="105">
        <f ca="1">RootCalculations!Z23</f>
        <v>38.30464687902776</v>
      </c>
      <c r="I74" s="105">
        <f ca="1">RootCalculations!AY23</f>
        <v>36.38031310262951</v>
      </c>
      <c r="J74" s="105">
        <f ca="1">RootCalculations!BX23</f>
        <v>36.803554283329596</v>
      </c>
      <c r="K74" s="105">
        <f ca="1">RootCalculations!CG23</f>
        <v>39.30481757441425</v>
      </c>
      <c r="L74" s="13">
        <f ca="1">RootCalculations!V23</f>
        <v>23.088</v>
      </c>
      <c r="M74" s="108">
        <f ca="1">RootCalculations!U23</f>
        <v>0.96</v>
      </c>
      <c r="N74" s="58">
        <f t="shared" si="22"/>
        <v>0</v>
      </c>
      <c r="O74" s="58">
        <f t="shared" si="16"/>
        <v>-0.06207595745539751</v>
      </c>
      <c r="P74" s="58">
        <f t="shared" si="17"/>
        <v>-0.022626893204656495</v>
      </c>
      <c r="Q74" s="58">
        <f t="shared" si="18"/>
        <v>-0.06717410810924429</v>
      </c>
      <c r="R74" s="58">
        <v>0</v>
      </c>
      <c r="S74" s="58">
        <f ca="1" t="shared" si="19"/>
        <v>-0.05023760648350595</v>
      </c>
      <c r="T74" s="58">
        <f ca="1" t="shared" si="20"/>
        <v>-0.0391882635137939</v>
      </c>
      <c r="U74" s="58">
        <f ca="1" t="shared" si="21"/>
        <v>0.026110949372414094</v>
      </c>
      <c r="W74" s="123" t="str">
        <f>$AA$9&amp;" "&amp;AB10</f>
        <v>End BPA Jan24 Tier</v>
      </c>
      <c r="X74" s="130">
        <f ca="1">X24</f>
        <v>0</v>
      </c>
      <c r="Y74" s="130">
        <f ca="1">X30</f>
        <v>1237</v>
      </c>
      <c r="Z74" s="130">
        <f ca="1">Y36</f>
        <v>125</v>
      </c>
      <c r="AA74" s="128">
        <f ca="1">X36</f>
        <v>125</v>
      </c>
    </row>
    <row r="75" spans="2:27" ht="13.5" thickBot="1">
      <c r="B75" s="13">
        <f>RootCalculations!G57</f>
        <v>24.235</v>
      </c>
      <c r="C75" s="106" t="str">
        <f>RootCalculations!C57</f>
        <v>Clearwater Power</v>
      </c>
      <c r="D75" s="105">
        <f>RootCalculations!T57</f>
        <v>34.377570695336594</v>
      </c>
      <c r="E75" s="105">
        <f>RootCalculations!AS57</f>
        <v>35.5763854636149</v>
      </c>
      <c r="F75" s="105">
        <f>RootCalculations!BR57</f>
        <v>34.790963136607154</v>
      </c>
      <c r="G75" s="107">
        <f>RootCalculations!CC57</f>
        <v>35.90132553133049</v>
      </c>
      <c r="H75" s="105">
        <f ca="1">RootCalculations!Z57</f>
        <v>42.2203167442153</v>
      </c>
      <c r="I75" s="105">
        <f ca="1">RootCalculations!AY57</f>
        <v>41.888999413885486</v>
      </c>
      <c r="J75" s="105">
        <f ca="1">RootCalculations!BX57</f>
        <v>41.852850961339165</v>
      </c>
      <c r="K75" s="105">
        <f ca="1">RootCalculations!CG57</f>
        <v>39.30481757441425</v>
      </c>
      <c r="L75" s="13">
        <f ca="1">RootCalculations!V57</f>
        <v>32.23255</v>
      </c>
      <c r="M75" s="108">
        <f ca="1">RootCalculations!U57</f>
        <v>1.33</v>
      </c>
      <c r="N75" s="58">
        <f t="shared" si="22"/>
        <v>0</v>
      </c>
      <c r="O75" s="58">
        <f t="shared" si="16"/>
        <v>0.034872003577638644</v>
      </c>
      <c r="P75" s="58">
        <f t="shared" si="17"/>
        <v>0.012025062647217144</v>
      </c>
      <c r="Q75" s="58">
        <f t="shared" si="18"/>
        <v>0.044324098683348856</v>
      </c>
      <c r="R75" s="58">
        <v>0</v>
      </c>
      <c r="S75" s="58">
        <f ca="1" t="shared" si="19"/>
        <v>-0.007847343551140251</v>
      </c>
      <c r="T75" s="58">
        <f ca="1" t="shared" si="20"/>
        <v>-0.008703529750910377</v>
      </c>
      <c r="U75" s="58">
        <f ca="1" t="shared" si="21"/>
        <v>-0.06905441253470723</v>
      </c>
      <c r="W75" s="124" t="str">
        <f>$AA$9&amp;" "&amp;AB11</f>
        <v>End Melded</v>
      </c>
      <c r="X75" s="132">
        <f ca="1">X25</f>
        <v>1112</v>
      </c>
      <c r="Y75" s="132" t="str">
        <f>X31</f>
        <v>N/A</v>
      </c>
      <c r="Z75" s="132" t="str">
        <f>Y37</f>
        <v>N/A</v>
      </c>
      <c r="AA75" s="133">
        <f ca="1">X37</f>
        <v>0</v>
      </c>
    </row>
    <row r="76" spans="2:21" ht="12.75">
      <c r="B76" s="13">
        <f>RootCalculations!G108</f>
        <v>24.655</v>
      </c>
      <c r="C76" s="106" t="str">
        <f>RootCalculations!C108</f>
        <v>Orcas P &amp; L</v>
      </c>
      <c r="D76" s="105">
        <f>RootCalculations!T108</f>
        <v>33.949064274110405</v>
      </c>
      <c r="E76" s="105">
        <f>RootCalculations!AS108</f>
        <v>35.5763854636149</v>
      </c>
      <c r="F76" s="105">
        <f>RootCalculations!BR108</f>
        <v>34.790963136607154</v>
      </c>
      <c r="G76" s="107">
        <f>RootCalculations!CC108</f>
        <v>35.90132553133049</v>
      </c>
      <c r="H76" s="105">
        <f ca="1">RootCalculations!Z108</f>
        <v>40.110749520759946</v>
      </c>
      <c r="I76" s="105">
        <f ca="1">RootCalculations!AY108</f>
        <v>39.96208531908813</v>
      </c>
      <c r="J76" s="105">
        <f ca="1">RootCalculations!BX108</f>
        <v>39.83651771768207</v>
      </c>
      <c r="K76" s="105">
        <f ca="1">RootCalculations!CG108</f>
        <v>39.30481757441425</v>
      </c>
      <c r="L76" s="13">
        <f ca="1">RootCalculations!V108</f>
        <v>30.32565</v>
      </c>
      <c r="M76" s="108">
        <f ca="1">RootCalculations!U108</f>
        <v>1.23</v>
      </c>
      <c r="N76" s="58">
        <f t="shared" si="22"/>
        <v>0</v>
      </c>
      <c r="O76" s="58">
        <f t="shared" si="16"/>
        <v>0.04793419860898762</v>
      </c>
      <c r="P76" s="58">
        <f t="shared" si="17"/>
        <v>0.024798882693764845</v>
      </c>
      <c r="Q76" s="58">
        <f t="shared" si="18"/>
        <v>0.05750559842996572</v>
      </c>
      <c r="R76" s="58">
        <v>0</v>
      </c>
      <c r="S76" s="58">
        <f ca="1" t="shared" si="19"/>
        <v>-0.003706343148608293</v>
      </c>
      <c r="T76" s="58">
        <f ca="1" t="shared" si="20"/>
        <v>-0.006836865587264596</v>
      </c>
      <c r="U76" s="58">
        <f ca="1" t="shared" si="21"/>
        <v>-0.020092667326711777</v>
      </c>
    </row>
    <row r="77" spans="2:21" ht="12.75">
      <c r="B77" s="13">
        <f>RootCalculations!G138</f>
        <v>25.148</v>
      </c>
      <c r="C77" s="106" t="str">
        <f>RootCalculations!C138</f>
        <v>Vigilante Elec Coop</v>
      </c>
      <c r="D77" s="105">
        <f>RootCalculations!T138</f>
        <v>40.90424681794824</v>
      </c>
      <c r="E77" s="105">
        <f>RootCalculations!AS138</f>
        <v>37.30825480638236</v>
      </c>
      <c r="F77" s="105">
        <f>RootCalculations!BR138</f>
        <v>39.40701960980371</v>
      </c>
      <c r="G77" s="107">
        <f>RootCalculations!CC138</f>
        <v>35.90132553133049</v>
      </c>
      <c r="H77" s="105">
        <f ca="1">RootCalculations!Z138</f>
        <v>47.32244024675938</v>
      </c>
      <c r="I77" s="105">
        <f ca="1">RootCalculations!AY138</f>
        <v>44.694730595738385</v>
      </c>
      <c r="J77" s="105">
        <f ca="1">RootCalculations!BX138</f>
        <v>45.8483449277535</v>
      </c>
      <c r="K77" s="105">
        <f ca="1">RootCalculations!CG138</f>
        <v>39.30481757441425</v>
      </c>
      <c r="L77" s="13">
        <f ca="1">RootCalculations!V138</f>
        <v>34.201280000000004</v>
      </c>
      <c r="M77" s="108">
        <f ca="1">RootCalculations!U138</f>
        <v>1.36</v>
      </c>
      <c r="N77" s="58">
        <f t="shared" si="22"/>
        <v>0</v>
      </c>
      <c r="O77" s="58">
        <f t="shared" si="16"/>
        <v>-0.08791243675920735</v>
      </c>
      <c r="P77" s="58">
        <f t="shared" si="17"/>
        <v>-0.03660322153854123</v>
      </c>
      <c r="Q77" s="58">
        <f t="shared" si="18"/>
        <v>-0.12230811409104181</v>
      </c>
      <c r="R77" s="58">
        <v>0</v>
      </c>
      <c r="S77" s="58">
        <f ca="1" t="shared" si="19"/>
        <v>-0.055527771545993754</v>
      </c>
      <c r="T77" s="58">
        <f ca="1" t="shared" si="20"/>
        <v>-0.031150027583516704</v>
      </c>
      <c r="U77" s="58">
        <f ca="1" t="shared" si="21"/>
        <v>-0.1694253853042621</v>
      </c>
    </row>
    <row r="78" spans="2:21" ht="12.75">
      <c r="B78" s="13">
        <f>RootCalculations!G33</f>
        <v>25.316</v>
      </c>
      <c r="C78" s="106" t="str">
        <f>RootCalculations!C33</f>
        <v>Centralia, City of</v>
      </c>
      <c r="D78" s="105">
        <f>RootCalculations!T33</f>
        <v>35.03796197757721</v>
      </c>
      <c r="E78" s="105">
        <f>RootCalculations!AS33</f>
        <v>35.5763854636149</v>
      </c>
      <c r="F78" s="105">
        <f>RootCalculations!BR33</f>
        <v>35.01811553013357</v>
      </c>
      <c r="G78" s="107">
        <f>RootCalculations!CC33</f>
        <v>35.90132553133049</v>
      </c>
      <c r="H78" s="105">
        <f ca="1">RootCalculations!Z33</f>
        <v>41.39366441380323</v>
      </c>
      <c r="I78" s="105">
        <f ca="1">RootCalculations!AY33</f>
        <v>40.75814452093524</v>
      </c>
      <c r="J78" s="105">
        <f ca="1">RootCalculations!BX33</f>
        <v>40.85041348522265</v>
      </c>
      <c r="K78" s="105">
        <f ca="1">RootCalculations!CG33</f>
        <v>39.30481757441425</v>
      </c>
      <c r="L78" s="13">
        <f ca="1">RootCalculations!V33</f>
        <v>31.645</v>
      </c>
      <c r="M78" s="108">
        <f ca="1">RootCalculations!U33</f>
        <v>1.25</v>
      </c>
      <c r="N78" s="58">
        <f t="shared" si="22"/>
        <v>0</v>
      </c>
      <c r="O78" s="58">
        <f t="shared" si="16"/>
        <v>0.015366860846023345</v>
      </c>
      <c r="P78" s="58">
        <f t="shared" si="17"/>
        <v>-0.0005664269929952503</v>
      </c>
      <c r="Q78" s="58">
        <f t="shared" si="18"/>
        <v>0.02464080400297819</v>
      </c>
      <c r="R78" s="58">
        <v>0</v>
      </c>
      <c r="S78" s="58">
        <f ca="1" t="shared" si="19"/>
        <v>-0.015353071583970923</v>
      </c>
      <c r="T78" s="58">
        <f ca="1" t="shared" si="20"/>
        <v>-0.013124011519004886</v>
      </c>
      <c r="U78" s="58">
        <f ca="1" t="shared" si="21"/>
        <v>-0.05046296018896135</v>
      </c>
    </row>
    <row r="79" spans="2:21" ht="12.75">
      <c r="B79" s="13">
        <f>RootCalculations!G38</f>
        <v>25.697</v>
      </c>
      <c r="C79" s="106" t="str">
        <f>RootCalculations!C38</f>
        <v>Ellensburg, City of</v>
      </c>
      <c r="D79" s="105">
        <f>RootCalculations!T38</f>
        <v>35.89591234080693</v>
      </c>
      <c r="E79" s="105">
        <f>RootCalculations!AS38</f>
        <v>35.5763854636149</v>
      </c>
      <c r="F79" s="105">
        <f>RootCalculations!BR38</f>
        <v>35.598814171666326</v>
      </c>
      <c r="G79" s="107">
        <f>RootCalculations!CC38</f>
        <v>35.90132553133049</v>
      </c>
      <c r="H79" s="105">
        <f ca="1">RootCalculations!Z38</f>
        <v>41.887578715974044</v>
      </c>
      <c r="I79" s="105">
        <f ca="1">RootCalculations!AY38</f>
        <v>40.870519920502836</v>
      </c>
      <c r="J79" s="105">
        <f ca="1">RootCalculations!BX38</f>
        <v>41.13471093934682</v>
      </c>
      <c r="K79" s="105">
        <f ca="1">RootCalculations!CG38</f>
        <v>39.30481757441425</v>
      </c>
      <c r="L79" s="13">
        <f ca="1">RootCalculations!V38</f>
        <v>31.864279999999997</v>
      </c>
      <c r="M79" s="108">
        <f ca="1">RootCalculations!U38</f>
        <v>1.24</v>
      </c>
      <c r="N79" s="58">
        <f t="shared" si="22"/>
        <v>0</v>
      </c>
      <c r="O79" s="58">
        <f t="shared" si="16"/>
        <v>-0.008901483660823106</v>
      </c>
      <c r="P79" s="58">
        <f t="shared" si="17"/>
        <v>-0.008276657417698785</v>
      </c>
      <c r="Q79" s="58">
        <f t="shared" si="18"/>
        <v>0.0001508024220744364</v>
      </c>
      <c r="R79" s="58">
        <v>0</v>
      </c>
      <c r="S79" s="58">
        <f ca="1" t="shared" si="19"/>
        <v>-0.024280677629221592</v>
      </c>
      <c r="T79" s="58">
        <f ca="1" t="shared" si="20"/>
        <v>-0.01797353295907067</v>
      </c>
      <c r="U79" s="58">
        <f ca="1" t="shared" si="21"/>
        <v>-0.06165935632309161</v>
      </c>
    </row>
    <row r="80" spans="2:21" ht="12.75">
      <c r="B80" s="13">
        <f>RootCalculations!G112</f>
        <v>25.76899999999999</v>
      </c>
      <c r="C80" s="106" t="str">
        <f>RootCalculations!C112</f>
        <v>Pend Oreille County PUD  #1</v>
      </c>
      <c r="D80" s="105">
        <f>RootCalculations!T112</f>
        <v>33.949064274110405</v>
      </c>
      <c r="E80" s="105">
        <f>RootCalculations!AS112</f>
        <v>35.5763854636149</v>
      </c>
      <c r="F80" s="105">
        <f>RootCalculations!BR112</f>
        <v>34.790963136607154</v>
      </c>
      <c r="G80" s="107">
        <f>RootCalculations!CC112</f>
        <v>35.90132553133049</v>
      </c>
      <c r="H80" s="105">
        <f ca="1">RootCalculations!Z112</f>
        <v>41.74804246896781</v>
      </c>
      <c r="I80" s="105">
        <f ca="1">RootCalculations!AY112</f>
        <v>41.5673694155302</v>
      </c>
      <c r="J80" s="105">
        <f ca="1">RootCalculations!BX112</f>
        <v>41.450506037986386</v>
      </c>
      <c r="K80" s="105">
        <f ca="1">RootCalculations!CG112</f>
        <v>39.30481757441425</v>
      </c>
      <c r="L80" s="13">
        <f ca="1">RootCalculations!V112</f>
        <v>34.01507999999999</v>
      </c>
      <c r="M80" s="108">
        <f ca="1">RootCalculations!U112</f>
        <v>1.32</v>
      </c>
      <c r="N80" s="58">
        <f t="shared" si="22"/>
        <v>0</v>
      </c>
      <c r="O80" s="58">
        <f t="shared" si="16"/>
        <v>0.04793419860898762</v>
      </c>
      <c r="P80" s="58">
        <f t="shared" si="17"/>
        <v>0.024798882693764845</v>
      </c>
      <c r="Q80" s="58">
        <f t="shared" si="18"/>
        <v>0.05750559842996572</v>
      </c>
      <c r="R80" s="58">
        <v>0</v>
      </c>
      <c r="S80" s="58">
        <f ca="1" t="shared" si="19"/>
        <v>-0.004327701198730605</v>
      </c>
      <c r="T80" s="58">
        <f ca="1" t="shared" si="20"/>
        <v>-0.007126955262695023</v>
      </c>
      <c r="U80" s="58">
        <f ca="1" t="shared" si="21"/>
        <v>-0.058523100726690536</v>
      </c>
    </row>
    <row r="81" spans="2:21" ht="12.75">
      <c r="B81" s="13">
        <f>RootCalculations!G135</f>
        <v>26.702</v>
      </c>
      <c r="C81" s="106" t="str">
        <f>RootCalculations!C135</f>
        <v>U.S. Naval Submarine Base, Bangor</v>
      </c>
      <c r="D81" s="105">
        <f>RootCalculations!T135</f>
        <v>40.8108217190326</v>
      </c>
      <c r="E81" s="105">
        <f>RootCalculations!AS135</f>
        <v>37.264828823989674</v>
      </c>
      <c r="F81" s="105">
        <f>RootCalculations!BR135</f>
        <v>39.34111178385512</v>
      </c>
      <c r="G81" s="107">
        <f>RootCalculations!CC135</f>
        <v>35.90132553133049</v>
      </c>
      <c r="H81" s="105">
        <f ca="1">RootCalculations!Z135</f>
        <v>44.02705137401809</v>
      </c>
      <c r="I81" s="105">
        <f ca="1">RootCalculations!AY135</f>
        <v>40.90714612489718</v>
      </c>
      <c r="J81" s="105">
        <f ca="1">RootCalculations!BX135</f>
        <v>42.27509960474938</v>
      </c>
      <c r="K81" s="105">
        <f ca="1">RootCalculations!CG135</f>
        <v>39.30481757441425</v>
      </c>
      <c r="L81" s="13">
        <f ca="1">RootCalculations!V135</f>
        <v>30.17326</v>
      </c>
      <c r="M81" s="108">
        <f ca="1">RootCalculations!U135</f>
        <v>1.13</v>
      </c>
      <c r="N81" s="58">
        <f t="shared" si="22"/>
        <v>0</v>
      </c>
      <c r="O81" s="58">
        <f t="shared" si="16"/>
        <v>-0.08688854440265326</v>
      </c>
      <c r="P81" s="58">
        <f t="shared" si="17"/>
        <v>-0.036012750375277736</v>
      </c>
      <c r="Q81" s="58">
        <f t="shared" si="18"/>
        <v>-0.12029888105420117</v>
      </c>
      <c r="R81" s="58">
        <v>0</v>
      </c>
      <c r="S81" s="58">
        <f ca="1" t="shared" si="19"/>
        <v>-0.07086337039963742</v>
      </c>
      <c r="T81" s="58">
        <f ca="1" t="shared" si="20"/>
        <v>-0.03979262100442649</v>
      </c>
      <c r="U81" s="58">
        <f ca="1" t="shared" si="21"/>
        <v>-0.10725755307771068</v>
      </c>
    </row>
    <row r="82" spans="2:21" ht="12.75">
      <c r="B82" s="13">
        <f>RootCalculations!G143</f>
        <v>26.806</v>
      </c>
      <c r="C82" s="106" t="str">
        <f>RootCalculations!C143</f>
        <v>Whatcom County PUD #1</v>
      </c>
      <c r="D82" s="105">
        <f>RootCalculations!T143</f>
        <v>33.949064274110405</v>
      </c>
      <c r="E82" s="105">
        <f>RootCalculations!AS143</f>
        <v>35.5763854636149</v>
      </c>
      <c r="F82" s="105">
        <f>RootCalculations!BR143</f>
        <v>34.790963136607154</v>
      </c>
      <c r="G82" s="107">
        <f>RootCalculations!CC143</f>
        <v>35.90132553133049</v>
      </c>
      <c r="H82" s="105">
        <f ca="1">RootCalculations!Z143</f>
        <v>35.160198917788975</v>
      </c>
      <c r="I82" s="105">
        <f ca="1">RootCalculations!AY143</f>
        <v>36.38031310262951</v>
      </c>
      <c r="J82" s="105">
        <f ca="1">RootCalculations!BX143</f>
        <v>35.05800570624853</v>
      </c>
      <c r="K82" s="105">
        <f ca="1">RootCalculations!CG143</f>
        <v>39.30481757441425</v>
      </c>
      <c r="L82" s="13">
        <f ca="1">RootCalculations!V143</f>
        <v>27.074060000000003</v>
      </c>
      <c r="M82" s="108">
        <f ca="1">RootCalculations!U143</f>
        <v>1.01</v>
      </c>
      <c r="N82" s="58">
        <f t="shared" si="22"/>
        <v>0</v>
      </c>
      <c r="O82" s="58">
        <f t="shared" si="16"/>
        <v>0.04793419860898762</v>
      </c>
      <c r="P82" s="58">
        <f t="shared" si="17"/>
        <v>0.024798882693764845</v>
      </c>
      <c r="Q82" s="58">
        <f t="shared" si="18"/>
        <v>0.05750559842996572</v>
      </c>
      <c r="R82" s="58">
        <v>0</v>
      </c>
      <c r="S82" s="58">
        <f ca="1" t="shared" si="19"/>
        <v>0.03470157230035542</v>
      </c>
      <c r="T82" s="58">
        <f ca="1" t="shared" si="20"/>
        <v>-0.002906502656011445</v>
      </c>
      <c r="U82" s="58">
        <f ca="1" t="shared" si="21"/>
        <v>0.11787813448712736</v>
      </c>
    </row>
    <row r="83" spans="2:21" ht="12.75">
      <c r="B83" s="13">
        <f>RootCalculations!G101</f>
        <v>27.176</v>
      </c>
      <c r="C83" s="106" t="str">
        <f>RootCalculations!C101</f>
        <v>Modern Elec Coop</v>
      </c>
      <c r="D83" s="105">
        <f>RootCalculations!T101</f>
        <v>34.90547079941831</v>
      </c>
      <c r="E83" s="105">
        <f>RootCalculations!AS101</f>
        <v>35.5763854636149</v>
      </c>
      <c r="F83" s="105">
        <f>RootCalculations!BR101</f>
        <v>34.95739958021201</v>
      </c>
      <c r="G83" s="107">
        <f>RootCalculations!CC101</f>
        <v>35.90132553133049</v>
      </c>
      <c r="H83" s="105">
        <f ca="1">RootCalculations!Z101</f>
        <v>36.10410825188653</v>
      </c>
      <c r="I83" s="105">
        <f ca="1">RootCalculations!AY101</f>
        <v>36.38031310262951</v>
      </c>
      <c r="J83" s="105">
        <f ca="1">RootCalculations!BX101</f>
        <v>35.49908241896925</v>
      </c>
      <c r="K83" s="105">
        <f ca="1">RootCalculations!CG101</f>
        <v>39.30481757441425</v>
      </c>
      <c r="L83" s="13">
        <f ca="1">RootCalculations!V101</f>
        <v>27.44776</v>
      </c>
      <c r="M83" s="108">
        <f ca="1">RootCalculations!U101</f>
        <v>1.01</v>
      </c>
      <c r="N83" s="58">
        <f t="shared" si="22"/>
        <v>0</v>
      </c>
      <c r="O83" s="58">
        <f t="shared" si="16"/>
        <v>0.019220902879435453</v>
      </c>
      <c r="P83" s="58">
        <f t="shared" si="17"/>
        <v>0.0014876974756223849</v>
      </c>
      <c r="Q83" s="58">
        <f t="shared" si="18"/>
        <v>0.028530047270663772</v>
      </c>
      <c r="R83" s="58">
        <v>0</v>
      </c>
      <c r="S83" s="58">
        <f ca="1" t="shared" si="19"/>
        <v>0.007650233286915276</v>
      </c>
      <c r="T83" s="58">
        <f ca="1" t="shared" si="20"/>
        <v>-0.01675781129106446</v>
      </c>
      <c r="U83" s="58">
        <f ca="1" t="shared" si="21"/>
        <v>0.08865221930416944</v>
      </c>
    </row>
    <row r="84" spans="2:21" ht="12.75">
      <c r="B84" s="13">
        <f>RootCalculations!G137</f>
        <v>27.383</v>
      </c>
      <c r="C84" s="106" t="str">
        <f>RootCalculations!C137</f>
        <v>Vera Irrigation District</v>
      </c>
      <c r="D84" s="105">
        <f>RootCalculations!T137</f>
        <v>34.18982063659994</v>
      </c>
      <c r="E84" s="105">
        <f>RootCalculations!AS137</f>
        <v>35.5763854636149</v>
      </c>
      <c r="F84" s="105">
        <f>RootCalculations!BR137</f>
        <v>34.790963136607154</v>
      </c>
      <c r="G84" s="107">
        <f>RootCalculations!CC137</f>
        <v>35.90132553133049</v>
      </c>
      <c r="H84" s="105">
        <f ca="1">RootCalculations!Z137</f>
        <v>39.99756169872186</v>
      </c>
      <c r="I84" s="105">
        <f ca="1">RootCalculations!AY137</f>
        <v>39.70779057077187</v>
      </c>
      <c r="J84" s="105">
        <f ca="1">RootCalculations!BX137</f>
        <v>39.629614285681065</v>
      </c>
      <c r="K84" s="105">
        <f ca="1">RootCalculations!CG137</f>
        <v>39.30481757441425</v>
      </c>
      <c r="L84" s="13">
        <f ca="1">RootCalculations!V137</f>
        <v>33.13343</v>
      </c>
      <c r="M84" s="108">
        <f ca="1">RootCalculations!U137</f>
        <v>1.21</v>
      </c>
      <c r="N84" s="58">
        <f t="shared" si="22"/>
        <v>0</v>
      </c>
      <c r="O84" s="58">
        <f t="shared" si="16"/>
        <v>0.04055490204972445</v>
      </c>
      <c r="P84" s="58">
        <f t="shared" si="17"/>
        <v>0.017582499375960348</v>
      </c>
      <c r="Q84" s="58">
        <f t="shared" si="18"/>
        <v>0.05005890241197686</v>
      </c>
      <c r="R84" s="58">
        <v>0</v>
      </c>
      <c r="S84" s="58">
        <f ca="1" t="shared" si="19"/>
        <v>-0.0072447198189896644</v>
      </c>
      <c r="T84" s="58">
        <f ca="1" t="shared" si="20"/>
        <v>-0.009199246089357294</v>
      </c>
      <c r="U84" s="58">
        <f ca="1" t="shared" si="21"/>
        <v>-0.01731965887134934</v>
      </c>
    </row>
    <row r="85" spans="2:21" ht="12.75">
      <c r="B85" s="13">
        <f>RootCalculations!G91</f>
        <v>28.056</v>
      </c>
      <c r="C85" s="106" t="str">
        <f>RootCalculations!C91</f>
        <v>Lane County Elec Coop</v>
      </c>
      <c r="D85" s="105">
        <f>RootCalculations!T91</f>
        <v>33.949064274110405</v>
      </c>
      <c r="E85" s="105">
        <f>RootCalculations!AS91</f>
        <v>35.5763854636149</v>
      </c>
      <c r="F85" s="105">
        <f>RootCalculations!BR91</f>
        <v>34.790963136607154</v>
      </c>
      <c r="G85" s="107">
        <f>RootCalculations!CC91</f>
        <v>35.90132553133049</v>
      </c>
      <c r="H85" s="105">
        <f ca="1">RootCalculations!Z91</f>
        <v>36.27250672855366</v>
      </c>
      <c r="I85" s="105">
        <f ca="1">RootCalculations!AY91</f>
        <v>37.02260486306927</v>
      </c>
      <c r="J85" s="105">
        <f ca="1">RootCalculations!BX91</f>
        <v>36.88109871472027</v>
      </c>
      <c r="K85" s="105">
        <f ca="1">RootCalculations!CG91</f>
        <v>39.30481757441425</v>
      </c>
      <c r="L85" s="13">
        <f ca="1">RootCalculations!V91</f>
        <v>30.58104</v>
      </c>
      <c r="M85" s="108">
        <f ca="1">RootCalculations!U91</f>
        <v>1.09</v>
      </c>
      <c r="N85" s="58">
        <f t="shared" si="22"/>
        <v>0</v>
      </c>
      <c r="O85" s="58">
        <f t="shared" si="16"/>
        <v>0.04793419860898762</v>
      </c>
      <c r="P85" s="58">
        <f t="shared" si="17"/>
        <v>0.024798882693764845</v>
      </c>
      <c r="Q85" s="58">
        <f t="shared" si="18"/>
        <v>0.05750559842996572</v>
      </c>
      <c r="R85" s="58">
        <v>0</v>
      </c>
      <c r="S85" s="58">
        <f ca="1" t="shared" si="19"/>
        <v>0.02067952292707509</v>
      </c>
      <c r="T85" s="58">
        <f ca="1" t="shared" si="20"/>
        <v>0.016778327197539022</v>
      </c>
      <c r="U85" s="58">
        <f ca="1" t="shared" si="21"/>
        <v>0.08359805040641333</v>
      </c>
    </row>
    <row r="86" spans="2:21" ht="12.75">
      <c r="B86" s="13">
        <f>RootCalculations!G82</f>
        <v>28.477</v>
      </c>
      <c r="C86" s="106" t="str">
        <f>RootCalculations!C82</f>
        <v>Harney Elec Coop</v>
      </c>
      <c r="D86" s="105">
        <f>RootCalculations!T82</f>
        <v>39.812548352313584</v>
      </c>
      <c r="E86" s="105">
        <f>RootCalculations!AS82</f>
        <v>36.76345991145124</v>
      </c>
      <c r="F86" s="105">
        <f>RootCalculations!BR82</f>
        <v>38.6000646894779</v>
      </c>
      <c r="G86" s="107">
        <f>RootCalculations!CC82</f>
        <v>35.90132553133049</v>
      </c>
      <c r="H86" s="105">
        <f ca="1">RootCalculations!Z82</f>
        <v>46.667113636623654</v>
      </c>
      <c r="I86" s="105">
        <f ca="1">RootCalculations!AY82</f>
        <v>44.44316779884589</v>
      </c>
      <c r="J86" s="105">
        <f ca="1">RootCalculations!BX82</f>
        <v>45.390949569887404</v>
      </c>
      <c r="K86" s="105">
        <f ca="1">RootCalculations!CG82</f>
        <v>39.30481757441425</v>
      </c>
      <c r="L86" s="13">
        <f ca="1">RootCalculations!V82</f>
        <v>39.013490000000004</v>
      </c>
      <c r="M86" s="108">
        <f ca="1">RootCalculations!U82</f>
        <v>1.37</v>
      </c>
      <c r="N86" s="58">
        <f t="shared" si="22"/>
        <v>0</v>
      </c>
      <c r="O86" s="58">
        <f t="shared" si="16"/>
        <v>-0.07658611586176334</v>
      </c>
      <c r="P86" s="58">
        <f t="shared" si="17"/>
        <v>-0.030454811686658312</v>
      </c>
      <c r="Q86" s="58">
        <f t="shared" si="18"/>
        <v>-0.09824095625257312</v>
      </c>
      <c r="R86" s="58">
        <v>0</v>
      </c>
      <c r="S86" s="58">
        <f ca="1" t="shared" si="19"/>
        <v>-0.047655525796916676</v>
      </c>
      <c r="T86" s="58">
        <f ca="1" t="shared" si="20"/>
        <v>-0.027346110939561852</v>
      </c>
      <c r="U86" s="58">
        <f ca="1" t="shared" si="21"/>
        <v>-0.15776197601455222</v>
      </c>
    </row>
    <row r="87" spans="2:21" ht="12.75">
      <c r="B87" s="13">
        <f>RootCalculations!G39</f>
        <v>29.579</v>
      </c>
      <c r="C87" s="106" t="str">
        <f>RootCalculations!C39</f>
        <v>Forest Grove, City of</v>
      </c>
      <c r="D87" s="105">
        <f>RootCalculations!T39</f>
        <v>36.806098007431416</v>
      </c>
      <c r="E87" s="105">
        <f>RootCalculations!AS39</f>
        <v>35.5763854636149</v>
      </c>
      <c r="F87" s="105">
        <f>RootCalculations!BR39</f>
        <v>36.29093265800356</v>
      </c>
      <c r="G87" s="107">
        <f>RootCalculations!CC39</f>
        <v>35.90132553133049</v>
      </c>
      <c r="H87" s="105">
        <f ca="1">RootCalculations!Z39</f>
        <v>44.54484018394484</v>
      </c>
      <c r="I87" s="105">
        <f ca="1">RootCalculations!AY39</f>
        <v>43.31755380344078</v>
      </c>
      <c r="J87" s="105">
        <f ca="1">RootCalculations!BX39</f>
        <v>43.721340016789235</v>
      </c>
      <c r="K87" s="105">
        <f ca="1">RootCalculations!CG39</f>
        <v>39.30481757441425</v>
      </c>
      <c r="L87" s="13">
        <f ca="1">RootCalculations!V39</f>
        <v>40.523230000000005</v>
      </c>
      <c r="M87" s="108">
        <f ca="1">RootCalculations!U39</f>
        <v>1.37</v>
      </c>
      <c r="N87" s="58">
        <f t="shared" si="22"/>
        <v>0</v>
      </c>
      <c r="O87" s="58">
        <f t="shared" si="16"/>
        <v>-0.03341056537881926</v>
      </c>
      <c r="P87" s="58">
        <f t="shared" si="17"/>
        <v>-0.013996739054594642</v>
      </c>
      <c r="Q87" s="58">
        <f t="shared" si="18"/>
        <v>-0.024582135164619823</v>
      </c>
      <c r="R87" s="58">
        <v>0</v>
      </c>
      <c r="S87" s="58">
        <f ca="1" t="shared" si="19"/>
        <v>-0.0275517068966028</v>
      </c>
      <c r="T87" s="58">
        <f ca="1" t="shared" si="20"/>
        <v>-0.018486993415062658</v>
      </c>
      <c r="U87" s="58">
        <f ca="1" t="shared" si="21"/>
        <v>-0.11763478301622099</v>
      </c>
    </row>
    <row r="88" spans="2:21" ht="12.75">
      <c r="B88" s="13">
        <f>RootCalculations!G90</f>
        <v>30.275</v>
      </c>
      <c r="C88" s="106" t="str">
        <f>RootCalculations!C90</f>
        <v>Lakeview L &amp; P (WA)</v>
      </c>
      <c r="D88" s="105">
        <f>RootCalculations!T90</f>
        <v>33.949064274110405</v>
      </c>
      <c r="E88" s="105">
        <f>RootCalculations!AS90</f>
        <v>35.5763854636149</v>
      </c>
      <c r="F88" s="105">
        <f>RootCalculations!BR90</f>
        <v>34.790963136607154</v>
      </c>
      <c r="G88" s="107">
        <f>RootCalculations!CC90</f>
        <v>35.90132553133049</v>
      </c>
      <c r="H88" s="105">
        <f ca="1">RootCalculations!Z90</f>
        <v>37.828605237858135</v>
      </c>
      <c r="I88" s="105">
        <f ca="1">RootCalculations!AY90</f>
        <v>39.80347483667665</v>
      </c>
      <c r="J88" s="105">
        <f ca="1">RootCalculations!BX90</f>
        <v>39.67704721233205</v>
      </c>
      <c r="K88" s="105">
        <f ca="1">RootCalculations!CG90</f>
        <v>39.30481757441425</v>
      </c>
      <c r="L88" s="13">
        <f ca="1">RootCalculations!V90</f>
        <v>36.9355</v>
      </c>
      <c r="M88" s="108">
        <f ca="1">RootCalculations!U90</f>
        <v>1.22</v>
      </c>
      <c r="N88" s="58">
        <f t="shared" si="22"/>
        <v>0</v>
      </c>
      <c r="O88" s="58">
        <f t="shared" si="16"/>
        <v>0.04793419860898762</v>
      </c>
      <c r="P88" s="58">
        <f t="shared" si="17"/>
        <v>0.024798882693764845</v>
      </c>
      <c r="Q88" s="58">
        <f t="shared" si="18"/>
        <v>0.05750559842996572</v>
      </c>
      <c r="R88" s="58">
        <v>0</v>
      </c>
      <c r="S88" s="58">
        <f ca="1" t="shared" si="19"/>
        <v>0.05220572068150431</v>
      </c>
      <c r="T88" s="58">
        <f ca="1" t="shared" si="20"/>
        <v>0.0488636036896235</v>
      </c>
      <c r="U88" s="58">
        <f ca="1" t="shared" si="21"/>
        <v>0.0390237051372635</v>
      </c>
    </row>
    <row r="89" spans="2:21" ht="12.75">
      <c r="B89" s="13">
        <f>RootCalculations!G69</f>
        <v>33.006</v>
      </c>
      <c r="C89" s="106" t="str">
        <f>RootCalculations!C69</f>
        <v>Elmhurst Mutual P &amp; L</v>
      </c>
      <c r="D89" s="105">
        <f>RootCalculations!T69</f>
        <v>34.62782809394568</v>
      </c>
      <c r="E89" s="105">
        <f>RootCalculations!AS69</f>
        <v>35.5763854636149</v>
      </c>
      <c r="F89" s="105">
        <f>RootCalculations!BR69</f>
        <v>34.790963136607154</v>
      </c>
      <c r="G89" s="107">
        <f>RootCalculations!CC69</f>
        <v>35.90132553133049</v>
      </c>
      <c r="H89" s="105">
        <f ca="1">RootCalculations!Z69</f>
        <v>35.565443243993556</v>
      </c>
      <c r="I89" s="105">
        <f ca="1">RootCalculations!AY69</f>
        <v>36.38031310262951</v>
      </c>
      <c r="J89" s="105">
        <f ca="1">RootCalculations!BX69</f>
        <v>35.05800570624853</v>
      </c>
      <c r="K89" s="105">
        <f ca="1">RootCalculations!CG69</f>
        <v>39.30481757441425</v>
      </c>
      <c r="L89" s="13">
        <f ca="1">RootCalculations!V69</f>
        <v>33.006</v>
      </c>
      <c r="M89" s="108">
        <f ca="1">RootCalculations!U69</f>
        <v>1</v>
      </c>
      <c r="N89" s="58">
        <f t="shared" si="22"/>
        <v>0</v>
      </c>
      <c r="O89" s="58">
        <f t="shared" si="16"/>
        <v>0.027392921297165085</v>
      </c>
      <c r="P89" s="58">
        <f t="shared" si="17"/>
        <v>0.004711096584483654</v>
      </c>
      <c r="Q89" s="58">
        <f t="shared" si="18"/>
        <v>0.036776705542426624</v>
      </c>
      <c r="R89" s="58">
        <v>0</v>
      </c>
      <c r="S89" s="58">
        <f ca="1" t="shared" si="19"/>
        <v>0.022911843191313785</v>
      </c>
      <c r="T89" s="58">
        <f ca="1" t="shared" si="20"/>
        <v>-0.014267713023110584</v>
      </c>
      <c r="U89" s="58">
        <f ca="1" t="shared" si="21"/>
        <v>0.10514066434564162</v>
      </c>
    </row>
    <row r="90" spans="2:21" ht="12.75">
      <c r="B90" s="13">
        <f>RootCalculations!G100</f>
        <v>33.872</v>
      </c>
      <c r="C90" s="106" t="str">
        <f>RootCalculations!C100</f>
        <v>Missoula Elec Coop</v>
      </c>
      <c r="D90" s="105">
        <f>RootCalculations!T100</f>
        <v>39.88022376703086</v>
      </c>
      <c r="E90" s="105">
        <f>RootCalculations!AS100</f>
        <v>36.79744894713383</v>
      </c>
      <c r="F90" s="105">
        <f>RootCalculations!BR100</f>
        <v>38.650302100500724</v>
      </c>
      <c r="G90" s="107">
        <f>RootCalculations!CC100</f>
        <v>35.90132553133049</v>
      </c>
      <c r="H90" s="105">
        <f ca="1">RootCalculations!Z100</f>
        <v>46.34760749761012</v>
      </c>
      <c r="I90" s="105">
        <f ca="1">RootCalculations!AY100</f>
        <v>44.04965437843996</v>
      </c>
      <c r="J90" s="105">
        <f ca="1">RootCalculations!BX100</f>
        <v>45.031167731908795</v>
      </c>
      <c r="K90" s="105">
        <f ca="1">RootCalculations!CG100</f>
        <v>39.30481757441425</v>
      </c>
      <c r="L90" s="13">
        <f ca="1">RootCalculations!V100</f>
        <v>45.38848</v>
      </c>
      <c r="M90" s="108">
        <f ca="1">RootCalculations!U100</f>
        <v>1.34</v>
      </c>
      <c r="N90" s="58">
        <f t="shared" si="22"/>
        <v>0</v>
      </c>
      <c r="O90" s="58">
        <f t="shared" si="16"/>
        <v>-0.07730084058469033</v>
      </c>
      <c r="P90" s="58">
        <f t="shared" si="17"/>
        <v>-0.030840390307612098</v>
      </c>
      <c r="Q90" s="58">
        <f t="shared" si="18"/>
        <v>-0.0997712113889827</v>
      </c>
      <c r="R90" s="58">
        <v>0</v>
      </c>
      <c r="S90" s="58">
        <f ca="1" t="shared" si="19"/>
        <v>-0.04958083584548889</v>
      </c>
      <c r="T90" s="58">
        <f ca="1" t="shared" si="20"/>
        <v>-0.028403618585257195</v>
      </c>
      <c r="U90" s="58">
        <f ca="1" t="shared" si="21"/>
        <v>-0.15195584634134618</v>
      </c>
    </row>
    <row r="91" spans="2:21" ht="12.75">
      <c r="B91" s="13">
        <f>RootCalculations!G115</f>
        <v>35.408</v>
      </c>
      <c r="C91" s="106" t="str">
        <f>RootCalculations!C115</f>
        <v>Raft River Elec Coop</v>
      </c>
      <c r="D91" s="105">
        <f>RootCalculations!T115</f>
        <v>33.949064274110405</v>
      </c>
      <c r="E91" s="105">
        <f>RootCalculations!AS115</f>
        <v>35.5763854636149</v>
      </c>
      <c r="F91" s="105">
        <f>RootCalculations!BR115</f>
        <v>34.790963136607154</v>
      </c>
      <c r="G91" s="107">
        <f>RootCalculations!CC115</f>
        <v>35.90132553133049</v>
      </c>
      <c r="H91" s="105">
        <f ca="1">RootCalculations!Z115</f>
        <v>39.60202260180156</v>
      </c>
      <c r="I91" s="105">
        <f ca="1">RootCalculations!AY115</f>
        <v>40.129660373520345</v>
      </c>
      <c r="J91" s="105">
        <f ca="1">RootCalculations!BX115</f>
        <v>40.00500140304804</v>
      </c>
      <c r="K91" s="105">
        <f ca="1">RootCalculations!CG115</f>
        <v>39.30481757441425</v>
      </c>
      <c r="L91" s="13">
        <f ca="1">RootCalculations!V115</f>
        <v>43.90592</v>
      </c>
      <c r="M91" s="108">
        <f ca="1">RootCalculations!U115</f>
        <v>1.24</v>
      </c>
      <c r="N91" s="58">
        <f t="shared" si="22"/>
        <v>0</v>
      </c>
      <c r="O91" s="58">
        <f t="shared" si="16"/>
        <v>0.04793419860898762</v>
      </c>
      <c r="P91" s="58">
        <f t="shared" si="17"/>
        <v>0.024798882693764845</v>
      </c>
      <c r="Q91" s="58">
        <f t="shared" si="18"/>
        <v>0.05750559842996572</v>
      </c>
      <c r="R91" s="58">
        <v>0</v>
      </c>
      <c r="S91" s="58">
        <f ca="1" t="shared" si="19"/>
        <v>0.013323505645764344</v>
      </c>
      <c r="T91" s="58">
        <f ca="1" t="shared" si="20"/>
        <v>0.01017571262201522</v>
      </c>
      <c r="U91" s="58">
        <f ca="1" t="shared" si="21"/>
        <v>-0.007504794145887561</v>
      </c>
    </row>
    <row r="92" spans="2:21" ht="12.75">
      <c r="B92" s="13">
        <f>RootCalculations!G114</f>
        <v>35.805</v>
      </c>
      <c r="C92" s="106" t="str">
        <f>RootCalculations!C114</f>
        <v>U.S. Naval Base,  Bremerton</v>
      </c>
      <c r="D92" s="105">
        <f>RootCalculations!T114</f>
        <v>38.30372567488906</v>
      </c>
      <c r="E92" s="105">
        <f>RootCalculations!AS114</f>
        <v>36.00567470930773</v>
      </c>
      <c r="F92" s="105">
        <f>RootCalculations!BR114</f>
        <v>37.48002212567521</v>
      </c>
      <c r="G92" s="107">
        <f>RootCalculations!CC114</f>
        <v>35.90132553133049</v>
      </c>
      <c r="H92" s="105">
        <f ca="1">RootCalculations!Z114</f>
        <v>41.302159148881756</v>
      </c>
      <c r="I92" s="105">
        <f ca="1">RootCalculations!AY114</f>
        <v>39.19006590323724</v>
      </c>
      <c r="J92" s="105">
        <f ca="1">RootCalculations!BX114</f>
        <v>40.03065125893127</v>
      </c>
      <c r="K92" s="105">
        <f ca="1">RootCalculations!CG114</f>
        <v>39.30481757441425</v>
      </c>
      <c r="L92" s="13">
        <f ca="1">RootCalculations!V114</f>
        <v>39.3855</v>
      </c>
      <c r="M92" s="108">
        <f ca="1">RootCalculations!U114</f>
        <v>1.1</v>
      </c>
      <c r="N92" s="58">
        <f t="shared" si="22"/>
        <v>0</v>
      </c>
      <c r="O92" s="58">
        <f t="shared" si="16"/>
        <v>-0.05999549456589459</v>
      </c>
      <c r="P92" s="58">
        <f t="shared" si="17"/>
        <v>-0.02150452820713067</v>
      </c>
      <c r="Q92" s="58">
        <f t="shared" si="18"/>
        <v>-0.06271975117902218</v>
      </c>
      <c r="R92" s="58">
        <v>0</v>
      </c>
      <c r="S92" s="58">
        <f ca="1" t="shared" si="19"/>
        <v>-0.051137598836687004</v>
      </c>
      <c r="T92" s="58">
        <f ca="1" t="shared" si="20"/>
        <v>-0.030785506524418804</v>
      </c>
      <c r="U92" s="58">
        <f ca="1" t="shared" si="21"/>
        <v>-0.0483592532600462</v>
      </c>
    </row>
    <row r="93" spans="2:21" ht="12.75">
      <c r="B93" s="13">
        <f>RootCalculations!G110</f>
        <v>36.972</v>
      </c>
      <c r="C93" s="106" t="str">
        <f>RootCalculations!C110</f>
        <v>Pacific County PUD #2</v>
      </c>
      <c r="D93" s="105">
        <f>RootCalculations!T110</f>
        <v>34.45796975780615</v>
      </c>
      <c r="E93" s="105">
        <f>RootCalculations!AS110</f>
        <v>35.5763854636149</v>
      </c>
      <c r="F93" s="105">
        <f>RootCalculations!BR110</f>
        <v>34.790963136607154</v>
      </c>
      <c r="G93" s="107">
        <f>RootCalculations!CC110</f>
        <v>35.90132553133049</v>
      </c>
      <c r="H93" s="105">
        <f ca="1">RootCalculations!Z110</f>
        <v>38.8052408550201</v>
      </c>
      <c r="I93" s="105">
        <f ca="1">RootCalculations!AY110</f>
        <v>38.339160779454204</v>
      </c>
      <c r="J93" s="105">
        <f ca="1">RootCalculations!BX110</f>
        <v>38.31421263864671</v>
      </c>
      <c r="K93" s="105">
        <f ca="1">RootCalculations!CG110</f>
        <v>39.30481757441425</v>
      </c>
      <c r="L93" s="13">
        <f ca="1">RootCalculations!V110</f>
        <v>42.14808</v>
      </c>
      <c r="M93" s="108">
        <f ca="1">RootCalculations!U110</f>
        <v>1.14</v>
      </c>
      <c r="N93" s="58">
        <f t="shared" si="22"/>
        <v>0</v>
      </c>
      <c r="O93" s="58">
        <f t="shared" si="16"/>
        <v>0.03245738833917766</v>
      </c>
      <c r="P93" s="58">
        <f t="shared" si="17"/>
        <v>0.009663755036686927</v>
      </c>
      <c r="Q93" s="58">
        <f t="shared" si="18"/>
        <v>0.041887429342739146</v>
      </c>
      <c r="R93" s="58">
        <v>0</v>
      </c>
      <c r="S93" s="58">
        <f ca="1" t="shared" si="19"/>
        <v>-0.012010750746457521</v>
      </c>
      <c r="T93" s="58">
        <f ca="1" t="shared" si="20"/>
        <v>-0.012653657226556536</v>
      </c>
      <c r="U93" s="58">
        <f ca="1" t="shared" si="21"/>
        <v>0.012873949713664068</v>
      </c>
    </row>
    <row r="94" spans="2:21" ht="12.75">
      <c r="B94" s="13">
        <f>RootCalculations!G136</f>
        <v>37.084</v>
      </c>
      <c r="C94" s="106" t="str">
        <f>RootCalculations!C136</f>
        <v>U.S. DOE Richland Operations Office</v>
      </c>
      <c r="D94" s="105">
        <f>RootCalculations!T136</f>
        <v>34.37777099319707</v>
      </c>
      <c r="E94" s="105">
        <f>RootCalculations!AS136</f>
        <v>35.5763854636149</v>
      </c>
      <c r="F94" s="105">
        <f>RootCalculations!BR136</f>
        <v>34.790963136607154</v>
      </c>
      <c r="G94" s="107">
        <f>RootCalculations!CC136</f>
        <v>35.90132553133049</v>
      </c>
      <c r="H94" s="105">
        <f ca="1">RootCalculations!Z136</f>
        <v>41.73816536638591</v>
      </c>
      <c r="I94" s="105">
        <f ca="1">RootCalculations!AY136</f>
        <v>41.39912837009104</v>
      </c>
      <c r="J94" s="105">
        <f ca="1">RootCalculations!BX136</f>
        <v>41.36218389528095</v>
      </c>
      <c r="K94" s="105">
        <f ca="1">RootCalculations!CG136</f>
        <v>39.30481757441425</v>
      </c>
      <c r="L94" s="13">
        <f ca="1">RootCalculations!V136</f>
        <v>48.2092</v>
      </c>
      <c r="M94" s="108">
        <f ca="1">RootCalculations!U136</f>
        <v>1.3</v>
      </c>
      <c r="N94" s="58">
        <f t="shared" si="22"/>
        <v>0</v>
      </c>
      <c r="O94" s="58">
        <f t="shared" si="16"/>
        <v>0.03486597402301106</v>
      </c>
      <c r="P94" s="58">
        <f t="shared" si="17"/>
        <v>0.012019166207484888</v>
      </c>
      <c r="Q94" s="58">
        <f t="shared" si="18"/>
        <v>0.04431801405724989</v>
      </c>
      <c r="R94" s="58">
        <v>0</v>
      </c>
      <c r="S94" s="58">
        <f ca="1" t="shared" si="19"/>
        <v>-0.008122949183768213</v>
      </c>
      <c r="T94" s="58">
        <f ca="1" t="shared" si="20"/>
        <v>-0.009008097691992845</v>
      </c>
      <c r="U94" s="58">
        <f ca="1" t="shared" si="21"/>
        <v>-0.05830030550243992</v>
      </c>
    </row>
    <row r="95" spans="2:21" ht="12.75">
      <c r="B95" s="13">
        <f>RootCalculations!G118</f>
        <v>38.332</v>
      </c>
      <c r="C95" s="106" t="str">
        <f>RootCalculations!C118</f>
        <v>Salem Elec Coop</v>
      </c>
      <c r="D95" s="105">
        <f>RootCalculations!T118</f>
        <v>33.949064274110405</v>
      </c>
      <c r="E95" s="105">
        <f>RootCalculations!AS118</f>
        <v>35.5763854636149</v>
      </c>
      <c r="F95" s="105">
        <f>RootCalculations!BR118</f>
        <v>34.790963136607154</v>
      </c>
      <c r="G95" s="107">
        <f>RootCalculations!CC118</f>
        <v>35.90132553133049</v>
      </c>
      <c r="H95" s="105">
        <f ca="1">RootCalculations!Z118</f>
        <v>38.141758659345136</v>
      </c>
      <c r="I95" s="105">
        <f ca="1">RootCalculations!AY118</f>
        <v>38.027107340705264</v>
      </c>
      <c r="J95" s="105">
        <f ca="1">RootCalculations!BX118</f>
        <v>37.891047838501265</v>
      </c>
      <c r="K95" s="105">
        <f ca="1">RootCalculations!CG118</f>
        <v>39.30481757441425</v>
      </c>
      <c r="L95" s="13">
        <f ca="1">RootCalculations!V118</f>
        <v>43.698479999999996</v>
      </c>
      <c r="M95" s="108">
        <f ca="1">RootCalculations!U118</f>
        <v>1.14</v>
      </c>
      <c r="N95" s="58">
        <f t="shared" si="22"/>
        <v>0</v>
      </c>
      <c r="O95" s="58">
        <f t="shared" si="16"/>
        <v>0.04793419860898762</v>
      </c>
      <c r="P95" s="58">
        <f t="shared" si="17"/>
        <v>0.024798882693764845</v>
      </c>
      <c r="Q95" s="58">
        <f t="shared" si="18"/>
        <v>0.05750559842996572</v>
      </c>
      <c r="R95" s="58">
        <v>0</v>
      </c>
      <c r="S95" s="58">
        <f ca="1" t="shared" si="19"/>
        <v>-0.003005926382783075</v>
      </c>
      <c r="T95" s="58">
        <f ca="1" t="shared" si="20"/>
        <v>-0.006573132169469198</v>
      </c>
      <c r="U95" s="58">
        <f ca="1" t="shared" si="21"/>
        <v>0.030493059469457684</v>
      </c>
    </row>
    <row r="96" spans="2:21" ht="12.75">
      <c r="B96" s="13">
        <f>RootCalculations!G132</f>
        <v>38.608</v>
      </c>
      <c r="C96" s="106" t="str">
        <f>RootCalculations!C132</f>
        <v>United Electric Coop</v>
      </c>
      <c r="D96" s="105">
        <f>RootCalculations!T132</f>
        <v>40.47036416662369</v>
      </c>
      <c r="E96" s="105">
        <f>RootCalculations!AS132</f>
        <v>36.97544315282098</v>
      </c>
      <c r="F96" s="105">
        <f>RootCalculations!BR132</f>
        <v>38.97171744356932</v>
      </c>
      <c r="G96" s="107">
        <f>RootCalculations!CC132</f>
        <v>35.90132553133049</v>
      </c>
      <c r="H96" s="105">
        <f ca="1">RootCalculations!Z132</f>
        <v>40.3030356403295</v>
      </c>
      <c r="I96" s="105">
        <f ca="1">RootCalculations!AY132</f>
        <v>36.68097487221268</v>
      </c>
      <c r="J96" s="105">
        <f ca="1">RootCalculations!BX132</f>
        <v>38.20265655680616</v>
      </c>
      <c r="K96" s="105">
        <f ca="1">RootCalculations!CG132</f>
        <v>39.30481757441425</v>
      </c>
      <c r="L96" s="13">
        <f ca="1">RootCalculations!V132</f>
        <v>37.06368</v>
      </c>
      <c r="M96" s="108">
        <f ca="1">RootCalculations!U132</f>
        <v>0.96</v>
      </c>
      <c r="N96" s="58">
        <f t="shared" si="22"/>
        <v>0</v>
      </c>
      <c r="O96" s="58">
        <f t="shared" si="16"/>
        <v>-0.0863575380595415</v>
      </c>
      <c r="P96" s="58">
        <f t="shared" si="17"/>
        <v>-0.0370307199827552</v>
      </c>
      <c r="Q96" s="58">
        <f t="shared" si="18"/>
        <v>-0.11289838204770408</v>
      </c>
      <c r="R96" s="58">
        <v>0</v>
      </c>
      <c r="S96" s="58">
        <f ca="1" t="shared" si="19"/>
        <v>-0.08987066881116956</v>
      </c>
      <c r="T96" s="58">
        <f ca="1" t="shared" si="20"/>
        <v>-0.05211466208817228</v>
      </c>
      <c r="U96" s="58">
        <f ca="1" t="shared" si="21"/>
        <v>-0.024767813393102633</v>
      </c>
    </row>
    <row r="97" spans="2:21" ht="12.75">
      <c r="B97" s="13">
        <f>RootCalculations!G64</f>
        <v>39.47</v>
      </c>
      <c r="C97" s="106" t="str">
        <f>RootCalculations!C64</f>
        <v>Coos Curry Elec Coop</v>
      </c>
      <c r="D97" s="105">
        <f>RootCalculations!T64</f>
        <v>33.949064274110405</v>
      </c>
      <c r="E97" s="105">
        <f>RootCalculations!AS64</f>
        <v>35.5763854636149</v>
      </c>
      <c r="F97" s="105">
        <f>RootCalculations!BR64</f>
        <v>34.790963136607154</v>
      </c>
      <c r="G97" s="107">
        <f>RootCalculations!CC64</f>
        <v>35.90132553133049</v>
      </c>
      <c r="H97" s="105">
        <f ca="1">RootCalculations!Z64</f>
        <v>36.799999438806495</v>
      </c>
      <c r="I97" s="105">
        <f ca="1">RootCalculations!AY64</f>
        <v>37.49282819886983</v>
      </c>
      <c r="J97" s="105">
        <f ca="1">RootCalculations!BX64</f>
        <v>37.353871710851436</v>
      </c>
      <c r="K97" s="105">
        <f ca="1">RootCalculations!CG64</f>
        <v>39.30481757441425</v>
      </c>
      <c r="L97" s="13">
        <f ca="1">RootCalculations!V64</f>
        <v>43.8117</v>
      </c>
      <c r="M97" s="108">
        <f ca="1">RootCalculations!U64</f>
        <v>1.11</v>
      </c>
      <c r="N97" s="58">
        <f t="shared" si="22"/>
        <v>0</v>
      </c>
      <c r="O97" s="58">
        <f t="shared" si="16"/>
        <v>0.04793419860898762</v>
      </c>
      <c r="P97" s="58">
        <f t="shared" si="17"/>
        <v>0.024798882693764845</v>
      </c>
      <c r="Q97" s="58">
        <f t="shared" si="18"/>
        <v>0.05750559842996572</v>
      </c>
      <c r="R97" s="58">
        <v>0</v>
      </c>
      <c r="S97" s="58">
        <f ca="1" t="shared" si="19"/>
        <v>0.01882686876708828</v>
      </c>
      <c r="T97" s="58">
        <f ca="1" t="shared" si="20"/>
        <v>0.015050877187266165</v>
      </c>
      <c r="U97" s="58">
        <f ca="1" t="shared" si="21"/>
        <v>0.0680657112447225</v>
      </c>
    </row>
    <row r="98" spans="2:21" ht="12.75">
      <c r="B98" s="13">
        <f>RootCalculations!G103</f>
        <v>40.108</v>
      </c>
      <c r="C98" s="106" t="str">
        <f>RootCalculations!C103</f>
        <v>Northern Lights</v>
      </c>
      <c r="D98" s="105">
        <f>RootCalculations!T103</f>
        <v>36.98921864067614</v>
      </c>
      <c r="E98" s="105">
        <f>RootCalculations!AS103</f>
        <v>35.5763854636149</v>
      </c>
      <c r="F98" s="105">
        <f>RootCalculations!BR103</f>
        <v>36.47813035687049</v>
      </c>
      <c r="G98" s="107">
        <f>RootCalculations!CC103</f>
        <v>35.90132553133049</v>
      </c>
      <c r="H98" s="105">
        <f ca="1">RootCalculations!Z103</f>
        <v>43.2216736890926</v>
      </c>
      <c r="I98" s="105">
        <f ca="1">RootCalculations!AY103</f>
        <v>41.868377200660476</v>
      </c>
      <c r="J98" s="105">
        <f ca="1">RootCalculations!BX103</f>
        <v>42.33989677953108</v>
      </c>
      <c r="K98" s="105">
        <f ca="1">RootCalculations!CG103</f>
        <v>39.30481757441425</v>
      </c>
      <c r="L98" s="13">
        <f ca="1">RootCalculations!V103</f>
        <v>50.93716</v>
      </c>
      <c r="M98" s="108">
        <f ca="1">RootCalculations!U103</f>
        <v>1.27</v>
      </c>
      <c r="N98" s="58">
        <f t="shared" si="22"/>
        <v>0</v>
      </c>
      <c r="O98" s="58">
        <f t="shared" si="16"/>
        <v>-0.038195810265307606</v>
      </c>
      <c r="P98" s="58">
        <f t="shared" si="17"/>
        <v>-0.013817223033838921</v>
      </c>
      <c r="Q98" s="58">
        <f t="shared" si="18"/>
        <v>-0.029411086509119166</v>
      </c>
      <c r="R98" s="58">
        <v>0</v>
      </c>
      <c r="S98" s="58">
        <f ca="1" t="shared" si="19"/>
        <v>-0.03131059889459209</v>
      </c>
      <c r="T98" s="58">
        <f ca="1" t="shared" si="20"/>
        <v>-0.02040126710280632</v>
      </c>
      <c r="U98" s="58">
        <f ca="1" t="shared" si="21"/>
        <v>-0.09062249978687897</v>
      </c>
    </row>
    <row r="99" spans="2:21" ht="12.75">
      <c r="B99" s="13">
        <f>RootCalculations!G74</f>
        <v>40.763</v>
      </c>
      <c r="C99" s="106" t="str">
        <f>RootCalculations!C74</f>
        <v>Fall River Elec Coop</v>
      </c>
      <c r="D99" s="105">
        <f>RootCalculations!T74</f>
        <v>39.41141376741844</v>
      </c>
      <c r="E99" s="105">
        <f>RootCalculations!AS74</f>
        <v>36.561995645935035</v>
      </c>
      <c r="F99" s="105">
        <f>RootCalculations!BR74</f>
        <v>38.30229092479482</v>
      </c>
      <c r="G99" s="107">
        <f>RootCalculations!CC74</f>
        <v>35.90132553133049</v>
      </c>
      <c r="H99" s="105">
        <f ca="1">RootCalculations!Z74</f>
        <v>44.7772892483068</v>
      </c>
      <c r="I99" s="105">
        <f ca="1">RootCalculations!AY74</f>
        <v>42.49372467629946</v>
      </c>
      <c r="J99" s="105">
        <f ca="1">RootCalculations!BX74</f>
        <v>43.45298727914513</v>
      </c>
      <c r="K99" s="105">
        <f ca="1">RootCalculations!CG74</f>
        <v>39.30481757441425</v>
      </c>
      <c r="L99" s="13">
        <f ca="1">RootCalculations!V74</f>
        <v>50.95375</v>
      </c>
      <c r="M99" s="108">
        <f ca="1">RootCalculations!U74</f>
        <v>1.25</v>
      </c>
      <c r="N99" s="58">
        <f t="shared" si="22"/>
        <v>0</v>
      </c>
      <c r="O99" s="58">
        <f t="shared" si="16"/>
        <v>-0.07229931253669031</v>
      </c>
      <c r="P99" s="58">
        <f t="shared" si="17"/>
        <v>-0.028142173461956244</v>
      </c>
      <c r="Q99" s="58">
        <f t="shared" si="18"/>
        <v>-0.08906273336963488</v>
      </c>
      <c r="R99" s="58">
        <v>0</v>
      </c>
      <c r="S99" s="58">
        <f ca="1" t="shared" si="19"/>
        <v>-0.05099827636604182</v>
      </c>
      <c r="T99" s="58">
        <f ca="1" t="shared" si="20"/>
        <v>-0.02957530461073521</v>
      </c>
      <c r="U99" s="58">
        <f ca="1" t="shared" si="21"/>
        <v>-0.12221534098559761</v>
      </c>
    </row>
    <row r="100" spans="2:21" ht="12.75">
      <c r="B100" s="13">
        <f>RootCalculations!G99</f>
        <v>41.46</v>
      </c>
      <c r="C100" s="106" t="str">
        <f>RootCalculations!C99</f>
        <v>Mission Valley</v>
      </c>
      <c r="D100" s="105">
        <f>RootCalculations!T99</f>
        <v>36.41726597518181</v>
      </c>
      <c r="E100" s="105">
        <f>RootCalculations!AS99</f>
        <v>35.5763854636149</v>
      </c>
      <c r="F100" s="105">
        <f>RootCalculations!BR99</f>
        <v>36.044828926799376</v>
      </c>
      <c r="G100" s="107">
        <f>RootCalculations!CC99</f>
        <v>35.90132553133049</v>
      </c>
      <c r="H100" s="105">
        <f ca="1">RootCalculations!Z99</f>
        <v>42.12487368513862</v>
      </c>
      <c r="I100" s="105">
        <f ca="1">RootCalculations!AY99</f>
        <v>40.943554787657774</v>
      </c>
      <c r="J100" s="105">
        <f ca="1">RootCalculations!BX99</f>
        <v>41.31516421064625</v>
      </c>
      <c r="K100" s="105">
        <f ca="1">RootCalculations!CG99</f>
        <v>39.30481757441425</v>
      </c>
      <c r="L100" s="13">
        <f ca="1">RootCalculations!V99</f>
        <v>50.9958</v>
      </c>
      <c r="M100" s="108">
        <f ca="1">RootCalculations!U99</f>
        <v>1.23</v>
      </c>
      <c r="N100" s="58">
        <f t="shared" si="22"/>
        <v>0</v>
      </c>
      <c r="O100" s="58">
        <f t="shared" si="16"/>
        <v>-0.02309016036898459</v>
      </c>
      <c r="P100" s="58">
        <f t="shared" si="17"/>
        <v>-0.010226935998881692</v>
      </c>
      <c r="Q100" s="58">
        <f t="shared" si="18"/>
        <v>-0.014167467821525448</v>
      </c>
      <c r="R100" s="58">
        <v>0</v>
      </c>
      <c r="S100" s="58">
        <f ca="1" t="shared" si="19"/>
        <v>-0.028043262664965707</v>
      </c>
      <c r="T100" s="58">
        <f ca="1" t="shared" si="20"/>
        <v>-0.019221647536429853</v>
      </c>
      <c r="U100" s="58">
        <f ca="1" t="shared" si="21"/>
        <v>-0.06694515292325409</v>
      </c>
    </row>
    <row r="101" spans="2:21" ht="12.75">
      <c r="B101" s="13">
        <f>RootCalculations!G61</f>
        <v>44.037</v>
      </c>
      <c r="C101" s="106" t="str">
        <f>RootCalculations!C61</f>
        <v>Columbia REA</v>
      </c>
      <c r="D101" s="105">
        <f>RootCalculations!T61</f>
        <v>38.15144900161327</v>
      </c>
      <c r="E101" s="105">
        <f>RootCalculations!AS61</f>
        <v>35.912228646840646</v>
      </c>
      <c r="F101" s="105">
        <f>RootCalculations!BR61</f>
        <v>37.350263855091065</v>
      </c>
      <c r="G101" s="107">
        <f>RootCalculations!CC61</f>
        <v>35.90132553133049</v>
      </c>
      <c r="H101" s="105">
        <f ca="1">RootCalculations!Z61</f>
        <v>37.155601594878334</v>
      </c>
      <c r="I101" s="105">
        <f ca="1">RootCalculations!AY61</f>
        <v>36.38031310262951</v>
      </c>
      <c r="J101" s="105">
        <f ca="1">RootCalculations!BX61</f>
        <v>35.6718078231787</v>
      </c>
      <c r="K101" s="105">
        <f ca="1">RootCalculations!CG61</f>
        <v>39.30481757441425</v>
      </c>
      <c r="L101" s="13">
        <f ca="1">RootCalculations!V61</f>
        <v>40.95441</v>
      </c>
      <c r="M101" s="108">
        <f ca="1">RootCalculations!U61</f>
        <v>0.93</v>
      </c>
      <c r="N101" s="58">
        <f t="shared" si="22"/>
        <v>0</v>
      </c>
      <c r="O101" s="58">
        <f t="shared" si="16"/>
        <v>-0.058692930763335815</v>
      </c>
      <c r="P101" s="58">
        <f t="shared" si="17"/>
        <v>-0.021000123651616187</v>
      </c>
      <c r="Q101" s="58">
        <f t="shared" si="18"/>
        <v>-0.05897871585919667</v>
      </c>
      <c r="R101" s="58">
        <v>0</v>
      </c>
      <c r="S101" s="58">
        <f ca="1" t="shared" si="19"/>
        <v>-0.020865992178032533</v>
      </c>
      <c r="T101" s="58">
        <f ca="1" t="shared" si="20"/>
        <v>-0.039934591501922134</v>
      </c>
      <c r="U101" s="58">
        <f ca="1" t="shared" si="21"/>
        <v>0.05784365983276585</v>
      </c>
    </row>
    <row r="102" spans="2:21" ht="12.75">
      <c r="B102" s="13">
        <f>RootCalculations!G150</f>
        <v>46.112</v>
      </c>
      <c r="C102" s="106" t="str">
        <f>RootCalculations!C150</f>
        <v>Jefferson County PUD #1</v>
      </c>
      <c r="D102" s="105">
        <f>RootCalculations!T150</f>
        <v>34.54308554073537</v>
      </c>
      <c r="E102" s="105">
        <f>RootCalculations!AS150</f>
        <v>35.5763854636149</v>
      </c>
      <c r="F102" s="105">
        <f>RootCalculations!BR150</f>
        <v>34.790963136607154</v>
      </c>
      <c r="G102" s="107">
        <f>RootCalculations!CC150</f>
        <v>35.90132553133049</v>
      </c>
      <c r="H102" s="105">
        <f ca="1">RootCalculations!Z150</f>
        <v>42.79903631112518</v>
      </c>
      <c r="I102" s="105">
        <f ca="1">RootCalculations!AY150</f>
        <v>42.33264049894406</v>
      </c>
      <c r="J102" s="105">
        <f ca="1">RootCalculations!BX150</f>
        <v>42.326986016994155</v>
      </c>
      <c r="K102" s="105">
        <f ca="1">RootCalculations!CG150</f>
        <v>39.30481757441425</v>
      </c>
      <c r="L102" s="13">
        <f ca="1">RootCalculations!V150</f>
        <v>62.712320000000005</v>
      </c>
      <c r="M102" s="108">
        <f ca="1">RootCalculations!U150</f>
        <v>1.36</v>
      </c>
      <c r="N102" s="58">
        <f t="shared" si="22"/>
        <v>0</v>
      </c>
      <c r="O102" s="58">
        <f t="shared" si="16"/>
        <v>0.02991336490948382</v>
      </c>
      <c r="P102" s="58">
        <f t="shared" si="17"/>
        <v>0.007175896188528652</v>
      </c>
      <c r="Q102" s="58">
        <f t="shared" si="18"/>
        <v>0.03932016984972009</v>
      </c>
      <c r="R102" s="58">
        <v>0</v>
      </c>
      <c r="S102" s="58">
        <f ca="1" t="shared" si="19"/>
        <v>-0.010897343781076763</v>
      </c>
      <c r="T102" s="58">
        <f ca="1" t="shared" si="20"/>
        <v>-0.011029460820086712</v>
      </c>
      <c r="U102" s="58">
        <f ca="1" t="shared" si="21"/>
        <v>-0.08164246295897648</v>
      </c>
    </row>
    <row r="103" spans="2:21" ht="12.75">
      <c r="B103" s="13">
        <f>RootCalculations!G48</f>
        <v>46.761</v>
      </c>
      <c r="C103" s="106" t="str">
        <f>RootCalculations!C48</f>
        <v>Port Angeles, City of</v>
      </c>
      <c r="D103" s="105">
        <f>RootCalculations!T48</f>
        <v>33.949064274110405</v>
      </c>
      <c r="E103" s="105">
        <f>RootCalculations!AS48</f>
        <v>35.5763854636149</v>
      </c>
      <c r="F103" s="105">
        <f>RootCalculations!BR48</f>
        <v>34.790963136607154</v>
      </c>
      <c r="G103" s="107">
        <f>RootCalculations!CC48</f>
        <v>35.90132553133049</v>
      </c>
      <c r="H103" s="105">
        <f ca="1">RootCalculations!Z48</f>
        <v>34.90901605903751</v>
      </c>
      <c r="I103" s="105">
        <f ca="1">RootCalculations!AY48</f>
        <v>41.405373512019466</v>
      </c>
      <c r="J103" s="105">
        <f ca="1">RootCalculations!BX48</f>
        <v>41.287631754996255</v>
      </c>
      <c r="K103" s="105">
        <f ca="1">RootCalculations!CG48</f>
        <v>39.30481757441425</v>
      </c>
      <c r="L103" s="13">
        <f ca="1">RootCalculations!V48</f>
        <v>61.256910000000005</v>
      </c>
      <c r="M103" s="108">
        <f ca="1">RootCalculations!U48</f>
        <v>1.31</v>
      </c>
      <c r="N103" s="58">
        <f t="shared" si="22"/>
        <v>0</v>
      </c>
      <c r="O103" s="58">
        <f aca="true" t="shared" si="23" ref="O103:O134">E103/$D103-1</f>
        <v>0.04793419860898762</v>
      </c>
      <c r="P103" s="58">
        <f aca="true" t="shared" si="24" ref="P103:P134">F103/$D103-1</f>
        <v>0.024798882693764845</v>
      </c>
      <c r="Q103" s="58">
        <f aca="true" t="shared" si="25" ref="Q103:Q134">G103/$D103-1</f>
        <v>0.05750559842996572</v>
      </c>
      <c r="R103" s="58">
        <v>0</v>
      </c>
      <c r="S103" s="58">
        <f aca="true" t="shared" si="26" ref="S103:S134">I103/$H103-1</f>
        <v>0.18609397188380883</v>
      </c>
      <c r="T103" s="58">
        <f aca="true" t="shared" si="27" ref="T103:T134">J103/$H103-1</f>
        <v>0.18272115390394683</v>
      </c>
      <c r="U103" s="58">
        <f aca="true" t="shared" si="28" ref="U103:U134">K103/$H103-1</f>
        <v>0.1259216675698518</v>
      </c>
    </row>
    <row r="104" spans="2:21" ht="12.75">
      <c r="B104" s="13">
        <f>RootCalculations!G63</f>
        <v>49.605</v>
      </c>
      <c r="C104" s="106" t="str">
        <f>RootCalculations!C63</f>
        <v>Consumers Power</v>
      </c>
      <c r="D104" s="105">
        <f>RootCalculations!T63</f>
        <v>36.260745522744045</v>
      </c>
      <c r="E104" s="105">
        <f>RootCalculations!AS63</f>
        <v>35.5763854636149</v>
      </c>
      <c r="F104" s="105">
        <f>RootCalculations!BR63</f>
        <v>35.8035409545017</v>
      </c>
      <c r="G104" s="107">
        <f>RootCalculations!CC63</f>
        <v>35.90132553133049</v>
      </c>
      <c r="H104" s="105">
        <f ca="1">RootCalculations!Z63</f>
        <v>42.984050330642766</v>
      </c>
      <c r="I104" s="105">
        <f ca="1">RootCalculations!AY63</f>
        <v>41.82031457374882</v>
      </c>
      <c r="J104" s="105">
        <f ca="1">RootCalculations!BX63</f>
        <v>42.144060851573705</v>
      </c>
      <c r="K104" s="105">
        <f ca="1">RootCalculations!CG63</f>
        <v>39.30481757441425</v>
      </c>
      <c r="L104" s="13">
        <f ca="1">RootCalculations!V63</f>
        <v>63.990449999999996</v>
      </c>
      <c r="M104" s="108">
        <f ca="1">RootCalculations!U63</f>
        <v>1.29</v>
      </c>
      <c r="N104" s="58">
        <f t="shared" si="22"/>
        <v>0</v>
      </c>
      <c r="O104" s="58">
        <f t="shared" si="23"/>
        <v>-0.01887330360320072</v>
      </c>
      <c r="P104" s="58">
        <f t="shared" si="24"/>
        <v>-0.012608802208867176</v>
      </c>
      <c r="Q104" s="58">
        <f t="shared" si="25"/>
        <v>-0.009912096020974315</v>
      </c>
      <c r="R104" s="58">
        <v>0</v>
      </c>
      <c r="S104" s="58">
        <f ca="1" t="shared" si="26"/>
        <v>-0.02707366448583226</v>
      </c>
      <c r="T104" s="58">
        <f ca="1" t="shared" si="27"/>
        <v>-0.019541887574755723</v>
      </c>
      <c r="U104" s="58">
        <f ca="1" t="shared" si="28"/>
        <v>-0.08559530169742147</v>
      </c>
    </row>
    <row r="105" spans="2:21" ht="12.75">
      <c r="B105" s="13">
        <f>RootCalculations!G107</f>
        <v>49.893</v>
      </c>
      <c r="C105" s="106" t="str">
        <f>RootCalculations!C107</f>
        <v>Okanogan County PUD #1</v>
      </c>
      <c r="D105" s="105">
        <f>RootCalculations!T107</f>
        <v>36.27721984824891</v>
      </c>
      <c r="E105" s="105">
        <f>RootCalculations!AS107</f>
        <v>35.5763854636149</v>
      </c>
      <c r="F105" s="105">
        <f>RootCalculations!BR107</f>
        <v>35.83593485973507</v>
      </c>
      <c r="G105" s="107">
        <f>RootCalculations!CC107</f>
        <v>35.90132553133049</v>
      </c>
      <c r="H105" s="105">
        <f ca="1">RootCalculations!Z107</f>
        <v>40.14704169731138</v>
      </c>
      <c r="I105" s="105">
        <f ca="1">RootCalculations!AY107</f>
        <v>38.82911950468589</v>
      </c>
      <c r="J105" s="105">
        <f ca="1">RootCalculations!BX107</f>
        <v>39.20241331315879</v>
      </c>
      <c r="K105" s="105">
        <f ca="1">RootCalculations!CG107</f>
        <v>39.30481757441425</v>
      </c>
      <c r="L105" s="13">
        <f ca="1">RootCalculations!V107</f>
        <v>56.37909</v>
      </c>
      <c r="M105" s="108">
        <f ca="1">RootCalculations!U107</f>
        <v>1.13</v>
      </c>
      <c r="N105" s="58">
        <f t="shared" si="22"/>
        <v>0</v>
      </c>
      <c r="O105" s="58">
        <f t="shared" si="23"/>
        <v>-0.019318855953286196</v>
      </c>
      <c r="P105" s="58">
        <f t="shared" si="24"/>
        <v>-0.012164244954816827</v>
      </c>
      <c r="Q105" s="58">
        <f t="shared" si="25"/>
        <v>-0.010361717862912956</v>
      </c>
      <c r="R105" s="58">
        <v>0</v>
      </c>
      <c r="S105" s="58">
        <f ca="1" t="shared" si="26"/>
        <v>-0.032827379973896065</v>
      </c>
      <c r="T105" s="58">
        <f ca="1" t="shared" si="27"/>
        <v>-0.0235292152102915</v>
      </c>
      <c r="U105" s="58">
        <f ca="1" t="shared" si="28"/>
        <v>-0.020978485270398695</v>
      </c>
    </row>
    <row r="106" spans="2:21" ht="12.75">
      <c r="B106" s="13">
        <f>RootCalculations!G70</f>
        <v>55.836</v>
      </c>
      <c r="C106" s="106" t="str">
        <f>RootCalculations!C70</f>
        <v>Emerald PUD</v>
      </c>
      <c r="D106" s="105">
        <f>RootCalculations!T70</f>
        <v>37.0199640555557</v>
      </c>
      <c r="E106" s="105">
        <f>RootCalculations!AS70</f>
        <v>35.5763854636149</v>
      </c>
      <c r="F106" s="105">
        <f>RootCalculations!BR70</f>
        <v>36.37541048991887</v>
      </c>
      <c r="G106" s="107">
        <f>RootCalculations!CC70</f>
        <v>35.90132553133049</v>
      </c>
      <c r="H106" s="105">
        <f ca="1">RootCalculations!Z70</f>
        <v>35.9789884253462</v>
      </c>
      <c r="I106" s="105">
        <f ca="1">RootCalculations!AY70</f>
        <v>36.38031310262951</v>
      </c>
      <c r="J106" s="105">
        <f ca="1">RootCalculations!BX70</f>
        <v>35.05800570624853</v>
      </c>
      <c r="K106" s="105">
        <f ca="1">RootCalculations!CG70</f>
        <v>39.30481757441425</v>
      </c>
      <c r="L106" s="13">
        <f ca="1">RootCalculations!V70</f>
        <v>51.92748</v>
      </c>
      <c r="M106" s="108">
        <f ca="1">RootCalculations!U70</f>
        <v>0.93</v>
      </c>
      <c r="N106" s="58">
        <f t="shared" si="22"/>
        <v>0</v>
      </c>
      <c r="O106" s="58">
        <f t="shared" si="23"/>
        <v>-0.03899459734143518</v>
      </c>
      <c r="P106" s="58">
        <f t="shared" si="24"/>
        <v>-0.017410972216762466</v>
      </c>
      <c r="Q106" s="58">
        <f t="shared" si="25"/>
        <v>-0.03021716937775709</v>
      </c>
      <c r="R106" s="58">
        <v>0</v>
      </c>
      <c r="S106" s="58">
        <f ca="1" t="shared" si="26"/>
        <v>0.011154418032514268</v>
      </c>
      <c r="T106" s="58">
        <f ca="1" t="shared" si="27"/>
        <v>-0.02559779358468195</v>
      </c>
      <c r="U106" s="58">
        <f ca="1" t="shared" si="28"/>
        <v>0.09243809497226141</v>
      </c>
    </row>
    <row r="107" spans="2:21" ht="12.75">
      <c r="B107" s="13">
        <f>RootCalculations!G128</f>
        <v>56.128</v>
      </c>
      <c r="C107" s="106" t="str">
        <f>RootCalculations!C128</f>
        <v>Tillamook PUD #1</v>
      </c>
      <c r="D107" s="105">
        <f>RootCalculations!T128</f>
        <v>34.00051671561666</v>
      </c>
      <c r="E107" s="105">
        <f>RootCalculations!AS128</f>
        <v>35.5763854636149</v>
      </c>
      <c r="F107" s="105">
        <f>RootCalculations!BR128</f>
        <v>34.790963136607154</v>
      </c>
      <c r="G107" s="107">
        <f>RootCalculations!CC128</f>
        <v>35.90132553133049</v>
      </c>
      <c r="H107" s="105">
        <f ca="1">RootCalculations!Z128</f>
        <v>40.409334929892566</v>
      </c>
      <c r="I107" s="105">
        <f ca="1">RootCalculations!AY128</f>
        <v>40.13663256736362</v>
      </c>
      <c r="J107" s="105">
        <f ca="1">RootCalculations!BX128</f>
        <v>40.02218199050969</v>
      </c>
      <c r="K107" s="105">
        <f ca="1">RootCalculations!CG128</f>
        <v>39.30481757441425</v>
      </c>
      <c r="L107" s="13">
        <f ca="1">RootCalculations!V128</f>
        <v>69.59872</v>
      </c>
      <c r="M107" s="108">
        <f ca="1">RootCalculations!U128</f>
        <v>1.24</v>
      </c>
      <c r="N107" s="58">
        <f t="shared" si="22"/>
        <v>0</v>
      </c>
      <c r="O107" s="58">
        <f t="shared" si="23"/>
        <v>0.04634837644318579</v>
      </c>
      <c r="P107" s="58">
        <f t="shared" si="24"/>
        <v>0.023248070833800982</v>
      </c>
      <c r="Q107" s="58">
        <f t="shared" si="25"/>
        <v>0.05590529201695271</v>
      </c>
      <c r="R107" s="58">
        <v>0</v>
      </c>
      <c r="S107" s="58">
        <f ca="1" t="shared" si="26"/>
        <v>-0.006748499152536613</v>
      </c>
      <c r="T107" s="58">
        <f ca="1" t="shared" si="27"/>
        <v>-0.009580779788990967</v>
      </c>
      <c r="U107" s="58">
        <f ca="1" t="shared" si="28"/>
        <v>-0.027333222815831504</v>
      </c>
    </row>
    <row r="108" spans="2:21" ht="12.75">
      <c r="B108" s="13">
        <f>RootCalculations!G88</f>
        <v>57.802</v>
      </c>
      <c r="C108" s="106" t="str">
        <f>RootCalculations!C88</f>
        <v>Klickitat County PUD #1</v>
      </c>
      <c r="D108" s="105">
        <f>RootCalculations!T88</f>
        <v>44.61930222526234</v>
      </c>
      <c r="E108" s="105">
        <f>RootCalculations!AS88</f>
        <v>39.17226244929942</v>
      </c>
      <c r="F108" s="105">
        <f>RootCalculations!BR88</f>
        <v>42.163011804090566</v>
      </c>
      <c r="G108" s="107">
        <f>RootCalculations!CC88</f>
        <v>35.90132553133049</v>
      </c>
      <c r="H108" s="105">
        <f ca="1">RootCalculations!Z88</f>
        <v>46.24086771999559</v>
      </c>
      <c r="I108" s="105">
        <f ca="1">RootCalculations!AY88</f>
        <v>41.187203433035855</v>
      </c>
      <c r="J108" s="105">
        <f ca="1">RootCalculations!BX88</f>
        <v>43.53562456818</v>
      </c>
      <c r="K108" s="105">
        <f ca="1">RootCalculations!CG88</f>
        <v>39.30481757441425</v>
      </c>
      <c r="L108" s="13">
        <f ca="1">RootCalculations!V88</f>
        <v>61.270120000000006</v>
      </c>
      <c r="M108" s="108">
        <f ca="1">RootCalculations!U88</f>
        <v>1.06</v>
      </c>
      <c r="N108" s="58">
        <f t="shared" si="22"/>
        <v>0</v>
      </c>
      <c r="O108" s="58">
        <f t="shared" si="23"/>
        <v>-0.1220781030699073</v>
      </c>
      <c r="P108" s="58">
        <f t="shared" si="24"/>
        <v>-0.05504995144861502</v>
      </c>
      <c r="Q108" s="58">
        <f t="shared" si="25"/>
        <v>-0.19538576936767837</v>
      </c>
      <c r="R108" s="58">
        <v>0</v>
      </c>
      <c r="S108" s="58">
        <f ca="1" t="shared" si="26"/>
        <v>-0.10928999683919038</v>
      </c>
      <c r="T108" s="58">
        <f ca="1" t="shared" si="27"/>
        <v>-0.05850329557388012</v>
      </c>
      <c r="U108" s="58">
        <f ca="1" t="shared" si="28"/>
        <v>-0.14999826966010932</v>
      </c>
    </row>
    <row r="109" spans="2:21" ht="12.75">
      <c r="B109" s="13">
        <f>RootCalculations!G98</f>
        <v>59.05</v>
      </c>
      <c r="C109" s="106" t="str">
        <f>RootCalculations!C98</f>
        <v>Midstate Elec Coop</v>
      </c>
      <c r="D109" s="105">
        <f>RootCalculations!T98</f>
        <v>40.027289391322014</v>
      </c>
      <c r="E109" s="105">
        <f>RootCalculations!AS98</f>
        <v>36.87131061126395</v>
      </c>
      <c r="F109" s="105">
        <f>RootCalculations!BR98</f>
        <v>38.759473152436044</v>
      </c>
      <c r="G109" s="107">
        <f>RootCalculations!CC98</f>
        <v>35.90132553133049</v>
      </c>
      <c r="H109" s="105">
        <f ca="1">RootCalculations!Z98</f>
        <v>42.441500057951004</v>
      </c>
      <c r="I109" s="105">
        <f ca="1">RootCalculations!AY98</f>
        <v>39.52503953540371</v>
      </c>
      <c r="J109" s="105">
        <f ca="1">RootCalculations!BX98</f>
        <v>40.776580292589834</v>
      </c>
      <c r="K109" s="105">
        <f ca="1">RootCalculations!CG98</f>
        <v>39.30481757441425</v>
      </c>
      <c r="L109" s="13">
        <f ca="1">RootCalculations!V98</f>
        <v>63.774</v>
      </c>
      <c r="M109" s="108">
        <f ca="1">RootCalculations!U98</f>
        <v>1.08</v>
      </c>
      <c r="N109" s="58">
        <f t="shared" si="22"/>
        <v>0</v>
      </c>
      <c r="O109" s="58">
        <f t="shared" si="23"/>
        <v>-0.07884567823726496</v>
      </c>
      <c r="P109" s="58">
        <f t="shared" si="24"/>
        <v>-0.031673797006120386</v>
      </c>
      <c r="Q109" s="58">
        <f t="shared" si="25"/>
        <v>-0.10307877257574272</v>
      </c>
      <c r="R109" s="58">
        <v>0</v>
      </c>
      <c r="S109" s="58">
        <f ca="1" t="shared" si="26"/>
        <v>-0.06871718762449652</v>
      </c>
      <c r="T109" s="58">
        <f ca="1" t="shared" si="27"/>
        <v>-0.039228579646992556</v>
      </c>
      <c r="U109" s="58">
        <f ca="1" t="shared" si="28"/>
        <v>-0.07390602309658767</v>
      </c>
    </row>
    <row r="110" spans="2:21" ht="12.75">
      <c r="B110" s="13">
        <f>RootCalculations!G60</f>
        <v>59.245</v>
      </c>
      <c r="C110" s="106" t="str">
        <f>RootCalculations!C60</f>
        <v>Columbia River PUD</v>
      </c>
      <c r="D110" s="105">
        <f>RootCalculations!T60</f>
        <v>34.4389804028514</v>
      </c>
      <c r="E110" s="105">
        <f>RootCalculations!AS60</f>
        <v>35.5763854636149</v>
      </c>
      <c r="F110" s="105">
        <f>RootCalculations!BR60</f>
        <v>34.790963136607154</v>
      </c>
      <c r="G110" s="107">
        <f>RootCalculations!CC60</f>
        <v>35.90132553133049</v>
      </c>
      <c r="H110" s="105">
        <f ca="1">RootCalculations!Z60</f>
        <v>41.618302417028424</v>
      </c>
      <c r="I110" s="105">
        <f ca="1">RootCalculations!AY60</f>
        <v>41.07680809577201</v>
      </c>
      <c r="J110" s="105">
        <f ca="1">RootCalculations!BX60</f>
        <v>41.05037280619481</v>
      </c>
      <c r="K110" s="105">
        <f ca="1">RootCalculations!CG60</f>
        <v>39.30481757441425</v>
      </c>
      <c r="L110" s="13">
        <f ca="1">RootCalculations!V60</f>
        <v>76.42605</v>
      </c>
      <c r="M110" s="108">
        <f ca="1">RootCalculations!U60</f>
        <v>1.29</v>
      </c>
      <c r="N110" s="58">
        <f t="shared" si="22"/>
        <v>0</v>
      </c>
      <c r="O110" s="58">
        <f t="shared" si="23"/>
        <v>0.033026676384104725</v>
      </c>
      <c r="P110" s="58">
        <f t="shared" si="24"/>
        <v>0.010220474869999663</v>
      </c>
      <c r="Q110" s="58">
        <f t="shared" si="25"/>
        <v>0.04246191703044788</v>
      </c>
      <c r="R110" s="58">
        <v>0</v>
      </c>
      <c r="S110" s="58">
        <f ca="1" t="shared" si="26"/>
        <v>-0.013010966084836206</v>
      </c>
      <c r="T110" s="58">
        <f ca="1" t="shared" si="27"/>
        <v>-0.013646150319702732</v>
      </c>
      <c r="U110" s="58">
        <f ca="1" t="shared" si="28"/>
        <v>-0.05558815973396347</v>
      </c>
    </row>
    <row r="111" spans="2:21" ht="12.75">
      <c r="B111" s="13">
        <f>RootCalculations!G20</f>
        <v>65.037</v>
      </c>
      <c r="C111" s="106" t="str">
        <f>RootCalculations!C20</f>
        <v>Benton REA</v>
      </c>
      <c r="D111" s="105">
        <f>RootCalculations!T20</f>
        <v>36.36124952764046</v>
      </c>
      <c r="E111" s="105">
        <f>RootCalculations!AS20</f>
        <v>35.5763854636149</v>
      </c>
      <c r="F111" s="105">
        <f>RootCalculations!BR20</f>
        <v>35.84717160879565</v>
      </c>
      <c r="G111" s="107">
        <f>RootCalculations!CC20</f>
        <v>35.90132553133049</v>
      </c>
      <c r="H111" s="105">
        <f ca="1">RootCalculations!Z20</f>
        <v>39.59438324011534</v>
      </c>
      <c r="I111" s="105">
        <f ca="1">RootCalculations!AY20</f>
        <v>38.158082149352765</v>
      </c>
      <c r="J111" s="105">
        <f ca="1">RootCalculations!BX20</f>
        <v>38.56023442740897</v>
      </c>
      <c r="K111" s="105">
        <f ca="1">RootCalculations!CG20</f>
        <v>39.30481757441425</v>
      </c>
      <c r="L111" s="13">
        <f ca="1">RootCalculations!V20</f>
        <v>71.54070000000002</v>
      </c>
      <c r="M111" s="108">
        <f ca="1">RootCalculations!U20</f>
        <v>1.1</v>
      </c>
      <c r="N111" s="58">
        <f t="shared" si="22"/>
        <v>0</v>
      </c>
      <c r="O111" s="58">
        <f t="shared" si="23"/>
        <v>-0.02158517856843556</v>
      </c>
      <c r="P111" s="58">
        <f t="shared" si="24"/>
        <v>-0.014138070762778066</v>
      </c>
      <c r="Q111" s="58">
        <f t="shared" si="25"/>
        <v>-0.01264874013640127</v>
      </c>
      <c r="R111" s="58">
        <v>0</v>
      </c>
      <c r="S111" s="58">
        <f ca="1" t="shared" si="26"/>
        <v>-0.036275374768494406</v>
      </c>
      <c r="T111" s="58">
        <f ca="1" t="shared" si="27"/>
        <v>-0.026118573597545325</v>
      </c>
      <c r="U111" s="58">
        <f ca="1" t="shared" si="28"/>
        <v>-0.007313301584849885</v>
      </c>
    </row>
    <row r="112" spans="2:21" ht="12.75">
      <c r="B112" s="13">
        <f>RootCalculations!G21</f>
        <v>68.216</v>
      </c>
      <c r="C112" s="106" t="str">
        <f>RootCalculations!C21</f>
        <v>Big Bend Elec Coop</v>
      </c>
      <c r="D112" s="105">
        <f>RootCalculations!T21</f>
        <v>36.95185409859728</v>
      </c>
      <c r="E112" s="105">
        <f>RootCalculations!AS21</f>
        <v>35.5763854636149</v>
      </c>
      <c r="F112" s="105">
        <f>RootCalculations!BR21</f>
        <v>36.47521913176163</v>
      </c>
      <c r="G112" s="107">
        <f>RootCalculations!CC21</f>
        <v>35.90132553133049</v>
      </c>
      <c r="H112" s="105">
        <f ca="1">RootCalculations!Z21</f>
        <v>40.1136278441307</v>
      </c>
      <c r="I112" s="105">
        <f ca="1">RootCalculations!AY21</f>
        <v>38.589708965540474</v>
      </c>
      <c r="J112" s="105">
        <f ca="1">RootCalculations!BX21</f>
        <v>39.125804661314945</v>
      </c>
      <c r="K112" s="105">
        <f ca="1">RootCalculations!CG21</f>
        <v>39.30481757441425</v>
      </c>
      <c r="L112" s="13">
        <f ca="1">RootCalculations!V21</f>
        <v>75.0376</v>
      </c>
      <c r="M112" s="108">
        <f ca="1">RootCalculations!U21</f>
        <v>1.1</v>
      </c>
      <c r="N112" s="58">
        <f t="shared" si="22"/>
        <v>0</v>
      </c>
      <c r="O112" s="58">
        <f t="shared" si="23"/>
        <v>-0.03722326439458956</v>
      </c>
      <c r="P112" s="58">
        <f t="shared" si="24"/>
        <v>-0.012898810586442155</v>
      </c>
      <c r="Q112" s="58">
        <f t="shared" si="25"/>
        <v>-0.0284296578045502</v>
      </c>
      <c r="R112" s="58">
        <v>0</v>
      </c>
      <c r="S112" s="58">
        <f ca="1" t="shared" si="26"/>
        <v>-0.03799005376705655</v>
      </c>
      <c r="T112" s="58">
        <f ca="1" t="shared" si="27"/>
        <v>-0.024625625651564897</v>
      </c>
      <c r="U112" s="58">
        <f ca="1" t="shared" si="28"/>
        <v>-0.02016297984463622</v>
      </c>
    </row>
    <row r="113" spans="2:21" ht="12.75">
      <c r="B113" s="13">
        <f>RootCalculations!G113</f>
        <v>68.701</v>
      </c>
      <c r="C113" s="106" t="str">
        <f>RootCalculations!C113</f>
        <v>Peninsula Light Company</v>
      </c>
      <c r="D113" s="105">
        <f>RootCalculations!T113</f>
        <v>33.949064274110405</v>
      </c>
      <c r="E113" s="105">
        <f>RootCalculations!AS113</f>
        <v>35.5763854636149</v>
      </c>
      <c r="F113" s="105">
        <f>RootCalculations!BR113</f>
        <v>34.790963136607154</v>
      </c>
      <c r="G113" s="107">
        <f>RootCalculations!CC113</f>
        <v>35.90132553133049</v>
      </c>
      <c r="H113" s="105">
        <f ca="1">RootCalculations!Z113</f>
        <v>34.90901605903751</v>
      </c>
      <c r="I113" s="105">
        <f ca="1">RootCalculations!AY113</f>
        <v>36.38031310262951</v>
      </c>
      <c r="J113" s="105">
        <f ca="1">RootCalculations!BX113</f>
        <v>35.49712405257377</v>
      </c>
      <c r="K113" s="105">
        <f ca="1">RootCalculations!CG113</f>
        <v>39.30481757441425</v>
      </c>
      <c r="L113" s="13">
        <f ca="1">RootCalculations!V113</f>
        <v>71.44904</v>
      </c>
      <c r="M113" s="108">
        <f ca="1">RootCalculations!U113</f>
        <v>1.04</v>
      </c>
      <c r="N113" s="58">
        <f t="shared" si="22"/>
        <v>0</v>
      </c>
      <c r="O113" s="58">
        <f t="shared" si="23"/>
        <v>0.04793419860898762</v>
      </c>
      <c r="P113" s="58">
        <f t="shared" si="24"/>
        <v>0.024798882693764845</v>
      </c>
      <c r="Q113" s="58">
        <f t="shared" si="25"/>
        <v>0.05750559842996572</v>
      </c>
      <c r="R113" s="58">
        <v>0</v>
      </c>
      <c r="S113" s="58">
        <f ca="1" t="shared" si="26"/>
        <v>0.0421466202629075</v>
      </c>
      <c r="T113" s="58">
        <f ca="1" t="shared" si="27"/>
        <v>0.01684687968694565</v>
      </c>
      <c r="U113" s="58">
        <f ca="1" t="shared" si="28"/>
        <v>0.1259216675698518</v>
      </c>
    </row>
    <row r="114" spans="2:21" ht="12.75">
      <c r="B114" s="13">
        <f>RootCalculations!G89</f>
        <v>73.045</v>
      </c>
      <c r="C114" s="106" t="str">
        <f>RootCalculations!C89</f>
        <v>Kootenai Electric Coop</v>
      </c>
      <c r="D114" s="105">
        <f>RootCalculations!T89</f>
        <v>42.75325961962292</v>
      </c>
      <c r="E114" s="105">
        <f>RootCalculations!AS89</f>
        <v>38.18553511681871</v>
      </c>
      <c r="F114" s="105">
        <f>RootCalculations!BR89</f>
        <v>40.72898612017983</v>
      </c>
      <c r="G114" s="107">
        <f>RootCalculations!CC89</f>
        <v>35.90132553133049</v>
      </c>
      <c r="H114" s="105">
        <f ca="1">RootCalculations!Z89</f>
        <v>44.36141387070403</v>
      </c>
      <c r="I114" s="105">
        <f ca="1">RootCalculations!AY89</f>
        <v>40.06600795511202</v>
      </c>
      <c r="J114" s="105">
        <f ca="1">RootCalculations!BX89</f>
        <v>41.99624204378263</v>
      </c>
      <c r="K114" s="105">
        <f ca="1">RootCalculations!CG89</f>
        <v>39.30481757441425</v>
      </c>
      <c r="L114" s="13">
        <f ca="1">RootCalculations!V89</f>
        <v>76.69725000000001</v>
      </c>
      <c r="M114" s="108">
        <f ca="1">RootCalculations!U89</f>
        <v>1.05</v>
      </c>
      <c r="N114" s="58">
        <f t="shared" si="22"/>
        <v>0</v>
      </c>
      <c r="O114" s="58">
        <f t="shared" si="23"/>
        <v>-0.1068392104705792</v>
      </c>
      <c r="P114" s="58">
        <f t="shared" si="24"/>
        <v>-0.047347816691712286</v>
      </c>
      <c r="Q114" s="58">
        <f t="shared" si="25"/>
        <v>-0.16026693986035923</v>
      </c>
      <c r="R114" s="58">
        <v>0</v>
      </c>
      <c r="S114" s="58">
        <f ca="1" t="shared" si="26"/>
        <v>-0.09682752511250914</v>
      </c>
      <c r="T114" s="58">
        <f ca="1" t="shared" si="27"/>
        <v>-0.053315970356917375</v>
      </c>
      <c r="U114" s="58">
        <f ca="1" t="shared" si="28"/>
        <v>-0.11398636461470213</v>
      </c>
    </row>
    <row r="115" spans="2:21" ht="12.75">
      <c r="B115" s="13">
        <f>RootCalculations!G54</f>
        <v>77.472</v>
      </c>
      <c r="C115" s="106" t="str">
        <f>RootCalculations!C54</f>
        <v>Clallam County PUD #1</v>
      </c>
      <c r="D115" s="105">
        <f>RootCalculations!T54</f>
        <v>34.492781116171855</v>
      </c>
      <c r="E115" s="105">
        <f>RootCalculations!AS54</f>
        <v>35.5763854636149</v>
      </c>
      <c r="F115" s="105">
        <f>RootCalculations!BR54</f>
        <v>34.790963136607154</v>
      </c>
      <c r="G115" s="107">
        <f>RootCalculations!CC54</f>
        <v>35.90132553133049</v>
      </c>
      <c r="H115" s="105">
        <f ca="1">RootCalculations!Z54</f>
        <v>41.65863594365379</v>
      </c>
      <c r="I115" s="105">
        <f ca="1">RootCalculations!AY54</f>
        <v>40.91422667722347</v>
      </c>
      <c r="J115" s="105">
        <f ca="1">RootCalculations!BX54</f>
        <v>40.897132403893735</v>
      </c>
      <c r="K115" s="105">
        <f ca="1">RootCalculations!CG54</f>
        <v>39.30481757441425</v>
      </c>
      <c r="L115" s="13">
        <f ca="1">RootCalculations!V54</f>
        <v>99.93888</v>
      </c>
      <c r="M115" s="108">
        <f ca="1">RootCalculations!U54</f>
        <v>1.29</v>
      </c>
      <c r="N115" s="58">
        <f t="shared" si="22"/>
        <v>0</v>
      </c>
      <c r="O115" s="58">
        <f t="shared" si="23"/>
        <v>0.031415395116835</v>
      </c>
      <c r="P115" s="58">
        <f t="shared" si="24"/>
        <v>0.008644765970914792</v>
      </c>
      <c r="Q115" s="58">
        <f t="shared" si="25"/>
        <v>0.040835918983008535</v>
      </c>
      <c r="R115" s="58">
        <v>0</v>
      </c>
      <c r="S115" s="58">
        <f ca="1" t="shared" si="26"/>
        <v>-0.017869266469434764</v>
      </c>
      <c r="T115" s="58">
        <f ca="1" t="shared" si="27"/>
        <v>-0.01827960811751117</v>
      </c>
      <c r="U115" s="58">
        <f ca="1" t="shared" si="28"/>
        <v>-0.0565025310099746</v>
      </c>
    </row>
    <row r="116" spans="2:21" ht="12.75">
      <c r="B116" s="13">
        <f>RootCalculations!G104</f>
        <v>77.593</v>
      </c>
      <c r="C116" s="106" t="str">
        <f>RootCalculations!C104</f>
        <v>Northern Wasco County PUD</v>
      </c>
      <c r="D116" s="105">
        <f>RootCalculations!T104</f>
        <v>38.77172564165273</v>
      </c>
      <c r="E116" s="105">
        <f>RootCalculations!AS104</f>
        <v>36.18530407707843</v>
      </c>
      <c r="F116" s="105">
        <f>RootCalculations!BR104</f>
        <v>37.772825912331925</v>
      </c>
      <c r="G116" s="107">
        <f>RootCalculations!CC104</f>
        <v>35.90132553133049</v>
      </c>
      <c r="H116" s="105">
        <f ca="1">RootCalculations!Z104</f>
        <v>41.11343380724035</v>
      </c>
      <c r="I116" s="105">
        <f ca="1">RootCalculations!AY104</f>
        <v>38.68211115856208</v>
      </c>
      <c r="J116" s="105">
        <f ca="1">RootCalculations!BX104</f>
        <v>39.65435520366158</v>
      </c>
      <c r="K116" s="105">
        <f ca="1">RootCalculations!CG104</f>
        <v>39.30481757441425</v>
      </c>
      <c r="L116" s="13">
        <f ca="1">RootCalculations!V104</f>
        <v>83.02451</v>
      </c>
      <c r="M116" s="108">
        <f ca="1">RootCalculations!U104</f>
        <v>1.07</v>
      </c>
      <c r="N116" s="58">
        <f t="shared" si="22"/>
        <v>0</v>
      </c>
      <c r="O116" s="58">
        <f t="shared" si="23"/>
        <v>-0.0667089617954918</v>
      </c>
      <c r="P116" s="58">
        <f t="shared" si="24"/>
        <v>-0.025763612859358465</v>
      </c>
      <c r="Q116" s="58">
        <f t="shared" si="25"/>
        <v>-0.0740333339003757</v>
      </c>
      <c r="R116" s="58">
        <v>0</v>
      </c>
      <c r="S116" s="58">
        <f ca="1" t="shared" si="26"/>
        <v>-0.059136939523890986</v>
      </c>
      <c r="T116" s="58">
        <f ca="1" t="shared" si="27"/>
        <v>-0.0354890961046852</v>
      </c>
      <c r="U116" s="58">
        <f ca="1" t="shared" si="28"/>
        <v>-0.043990882428010414</v>
      </c>
    </row>
    <row r="117" spans="2:21" ht="12.75">
      <c r="B117" s="13">
        <f>RootCalculations!G109</f>
        <v>78.386</v>
      </c>
      <c r="C117" s="106" t="str">
        <f>RootCalculations!C109</f>
        <v>Oregon Trail Coop</v>
      </c>
      <c r="D117" s="105">
        <f>RootCalculations!T109</f>
        <v>33.949064274110405</v>
      </c>
      <c r="E117" s="105">
        <f>RootCalculations!AS109</f>
        <v>35.5763854636149</v>
      </c>
      <c r="F117" s="105">
        <f>RootCalculations!BR109</f>
        <v>34.790963136607154</v>
      </c>
      <c r="G117" s="107">
        <f>RootCalculations!CC109</f>
        <v>35.90132553133049</v>
      </c>
      <c r="H117" s="105">
        <f ca="1">RootCalculations!Z109</f>
        <v>36.97553858249248</v>
      </c>
      <c r="I117" s="105">
        <f ca="1">RootCalculations!AY109</f>
        <v>37.022604863069276</v>
      </c>
      <c r="J117" s="105">
        <f ca="1">RootCalculations!BX109</f>
        <v>36.881098714720274</v>
      </c>
      <c r="K117" s="105">
        <f ca="1">RootCalculations!CG109</f>
        <v>39.30481757441425</v>
      </c>
      <c r="L117" s="13">
        <f ca="1">RootCalculations!V109</f>
        <v>85.44074</v>
      </c>
      <c r="M117" s="108">
        <f ca="1">RootCalculations!U109</f>
        <v>1.09</v>
      </c>
      <c r="N117" s="58">
        <f t="shared" si="22"/>
        <v>0</v>
      </c>
      <c r="O117" s="58">
        <f t="shared" si="23"/>
        <v>0.04793419860898762</v>
      </c>
      <c r="P117" s="58">
        <f t="shared" si="24"/>
        <v>0.024798882693764845</v>
      </c>
      <c r="Q117" s="58">
        <f t="shared" si="25"/>
        <v>0.05750559842996572</v>
      </c>
      <c r="R117" s="58">
        <v>0</v>
      </c>
      <c r="S117" s="58">
        <f ca="1" t="shared" si="26"/>
        <v>0.0012729031781859579</v>
      </c>
      <c r="T117" s="58">
        <f ca="1" t="shared" si="27"/>
        <v>-0.00255411743527445</v>
      </c>
      <c r="U117" s="58">
        <f ca="1" t="shared" si="28"/>
        <v>0.06299513357256825</v>
      </c>
    </row>
    <row r="118" spans="2:21" ht="12.75">
      <c r="B118" s="13">
        <f>RootCalculations!G97</f>
        <v>80.439</v>
      </c>
      <c r="C118" s="106" t="str">
        <f>RootCalculations!C97</f>
        <v>Mason County PUD #3</v>
      </c>
      <c r="D118" s="105">
        <f>RootCalculations!T97</f>
        <v>34.13401407731784</v>
      </c>
      <c r="E118" s="105">
        <f>RootCalculations!AS97</f>
        <v>35.5763854636149</v>
      </c>
      <c r="F118" s="105">
        <f>RootCalculations!BR97</f>
        <v>34.790963136607154</v>
      </c>
      <c r="G118" s="107">
        <f>RootCalculations!CC97</f>
        <v>35.90132553133049</v>
      </c>
      <c r="H118" s="105">
        <f ca="1">RootCalculations!Z97</f>
        <v>35.63752898838712</v>
      </c>
      <c r="I118" s="105">
        <f ca="1">RootCalculations!AY97</f>
        <v>36.38031310262951</v>
      </c>
      <c r="J118" s="105">
        <f ca="1">RootCalculations!BX97</f>
        <v>35.12431117054122</v>
      </c>
      <c r="K118" s="105">
        <f ca="1">RootCalculations!CG97</f>
        <v>39.30481757441425</v>
      </c>
      <c r="L118" s="13">
        <f ca="1">RootCalculations!V97</f>
        <v>82.04777999999999</v>
      </c>
      <c r="M118" s="108">
        <f ca="1">RootCalculations!U97</f>
        <v>1.02</v>
      </c>
      <c r="N118" s="58">
        <f t="shared" si="22"/>
        <v>0</v>
      </c>
      <c r="O118" s="58">
        <f t="shared" si="23"/>
        <v>0.0422561314655201</v>
      </c>
      <c r="P118" s="58">
        <f t="shared" si="24"/>
        <v>0.019246170632063242</v>
      </c>
      <c r="Q118" s="58">
        <f t="shared" si="25"/>
        <v>0.05177567015732354</v>
      </c>
      <c r="R118" s="58">
        <v>0</v>
      </c>
      <c r="S118" s="58">
        <f ca="1" t="shared" si="26"/>
        <v>0.02084275019416837</v>
      </c>
      <c r="T118" s="58">
        <f ca="1" t="shared" si="27"/>
        <v>-0.014401049467069882</v>
      </c>
      <c r="U118" s="58">
        <f ca="1" t="shared" si="28"/>
        <v>0.10290524315594829</v>
      </c>
    </row>
    <row r="119" spans="2:21" ht="12.75">
      <c r="B119" s="13">
        <f>RootCalculations!G42</f>
        <v>82.577</v>
      </c>
      <c r="C119" s="106" t="str">
        <f>RootCalculations!C42</f>
        <v>McMinnville, City of</v>
      </c>
      <c r="D119" s="105">
        <f>RootCalculations!T42</f>
        <v>33.949064274110405</v>
      </c>
      <c r="E119" s="105">
        <f>RootCalculations!AS42</f>
        <v>35.5763854636149</v>
      </c>
      <c r="F119" s="105">
        <f>RootCalculations!BR42</f>
        <v>34.790963136607154</v>
      </c>
      <c r="G119" s="107">
        <f>RootCalculations!CC42</f>
        <v>35.90132553133049</v>
      </c>
      <c r="H119" s="105">
        <f ca="1">RootCalculations!Z42</f>
        <v>34.90901605903751</v>
      </c>
      <c r="I119" s="105">
        <f ca="1">RootCalculations!AY42</f>
        <v>36.38031310262951</v>
      </c>
      <c r="J119" s="105">
        <f ca="1">RootCalculations!BX42</f>
        <v>35.05800570624853</v>
      </c>
      <c r="K119" s="105">
        <f ca="1">RootCalculations!CG42</f>
        <v>39.30481757441425</v>
      </c>
      <c r="L119" s="13">
        <f ca="1">RootCalculations!V42</f>
        <v>75.14507</v>
      </c>
      <c r="M119" s="108">
        <f ca="1">RootCalculations!U42</f>
        <v>0.91</v>
      </c>
      <c r="N119" s="58">
        <f t="shared" si="22"/>
        <v>0</v>
      </c>
      <c r="O119" s="58">
        <f t="shared" si="23"/>
        <v>0.04793419860898762</v>
      </c>
      <c r="P119" s="58">
        <f t="shared" si="24"/>
        <v>0.024798882693764845</v>
      </c>
      <c r="Q119" s="58">
        <f t="shared" si="25"/>
        <v>0.05750559842996572</v>
      </c>
      <c r="R119" s="58">
        <v>0</v>
      </c>
      <c r="S119" s="58">
        <f ca="1" t="shared" si="26"/>
        <v>0.0421466202629075</v>
      </c>
      <c r="T119" s="58">
        <f ca="1" t="shared" si="27"/>
        <v>0.0042679417534727815</v>
      </c>
      <c r="U119" s="58">
        <f ca="1" t="shared" si="28"/>
        <v>0.1259216675698518</v>
      </c>
    </row>
    <row r="120" spans="2:21" ht="12.75">
      <c r="B120" s="13">
        <f>RootCalculations!G56</f>
        <v>82.632</v>
      </c>
      <c r="C120" s="106" t="str">
        <f>RootCalculations!C56</f>
        <v>Clatskanie PUD</v>
      </c>
      <c r="D120" s="105">
        <f>RootCalculations!T56</f>
        <v>33.949064274110405</v>
      </c>
      <c r="E120" s="105">
        <f>RootCalculations!AS56</f>
        <v>35.5763854636149</v>
      </c>
      <c r="F120" s="105">
        <f>RootCalculations!BR56</f>
        <v>34.790963136607154</v>
      </c>
      <c r="G120" s="107">
        <f>RootCalculations!CC56</f>
        <v>35.90132553133049</v>
      </c>
      <c r="H120" s="105">
        <f ca="1">RootCalculations!Z56</f>
        <v>34.90901605903751</v>
      </c>
      <c r="I120" s="105">
        <f ca="1">RootCalculations!AY56</f>
        <v>36.38031310262951</v>
      </c>
      <c r="J120" s="105">
        <f ca="1">RootCalculations!BX56</f>
        <v>35.05800570624853</v>
      </c>
      <c r="K120" s="105">
        <f ca="1">RootCalculations!CG56</f>
        <v>39.30481757441425</v>
      </c>
      <c r="L120" s="13">
        <f ca="1">RootCalculations!V56</f>
        <v>77.67408</v>
      </c>
      <c r="M120" s="108">
        <f ca="1">RootCalculations!U56</f>
        <v>0.94</v>
      </c>
      <c r="N120" s="58">
        <f t="shared" si="22"/>
        <v>0</v>
      </c>
      <c r="O120" s="58">
        <f t="shared" si="23"/>
        <v>0.04793419860898762</v>
      </c>
      <c r="P120" s="58">
        <f t="shared" si="24"/>
        <v>0.024798882693764845</v>
      </c>
      <c r="Q120" s="58">
        <f t="shared" si="25"/>
        <v>0.05750559842996572</v>
      </c>
      <c r="R120" s="58">
        <v>0</v>
      </c>
      <c r="S120" s="58">
        <f ca="1" t="shared" si="26"/>
        <v>0.0421466202629075</v>
      </c>
      <c r="T120" s="58">
        <f ca="1" t="shared" si="27"/>
        <v>0.0042679417534727815</v>
      </c>
      <c r="U120" s="58">
        <f ca="1" t="shared" si="28"/>
        <v>0.1259216675698518</v>
      </c>
    </row>
    <row r="121" spans="2:21" ht="12.75">
      <c r="B121" s="13">
        <f>RootCalculations!G85</f>
        <v>87.174</v>
      </c>
      <c r="C121" s="106" t="str">
        <f>RootCalculations!C85</f>
        <v>Idaho Falls Power</v>
      </c>
      <c r="D121" s="105">
        <f>RootCalculations!T85</f>
        <v>36.49826688451978</v>
      </c>
      <c r="E121" s="105">
        <f>RootCalculations!AS85</f>
        <v>35.5763854636149</v>
      </c>
      <c r="F121" s="105">
        <f>RootCalculations!BR85</f>
        <v>36.00953119011846</v>
      </c>
      <c r="G121" s="107">
        <f>RootCalculations!CC85</f>
        <v>35.90132553133049</v>
      </c>
      <c r="H121" s="105">
        <f ca="1">RootCalculations!Z85</f>
        <v>36.57807214333968</v>
      </c>
      <c r="I121" s="105">
        <f ca="1">RootCalculations!AY85</f>
        <v>36.38031310262951</v>
      </c>
      <c r="J121" s="105">
        <f ca="1">RootCalculations!BX85</f>
        <v>35.43452265480696</v>
      </c>
      <c r="K121" s="105">
        <f ca="1">RootCalculations!CG85</f>
        <v>39.30481757441425</v>
      </c>
      <c r="L121" s="13">
        <f ca="1">RootCalculations!V85</f>
        <v>84.55878</v>
      </c>
      <c r="M121" s="108">
        <f ca="1">RootCalculations!U85</f>
        <v>0.97</v>
      </c>
      <c r="N121" s="58">
        <f t="shared" si="22"/>
        <v>0</v>
      </c>
      <c r="O121" s="58">
        <f t="shared" si="23"/>
        <v>-0.025258224556845565</v>
      </c>
      <c r="P121" s="58">
        <f t="shared" si="24"/>
        <v>-0.013390654848014494</v>
      </c>
      <c r="Q121" s="58">
        <f t="shared" si="25"/>
        <v>-0.016355334215676698</v>
      </c>
      <c r="R121" s="58">
        <v>0</v>
      </c>
      <c r="S121" s="58">
        <f ca="1" t="shared" si="26"/>
        <v>-0.0054064916252341</v>
      </c>
      <c r="T121" s="58">
        <f ca="1" t="shared" si="27"/>
        <v>-0.03126325203940372</v>
      </c>
      <c r="U121" s="58">
        <f ca="1" t="shared" si="28"/>
        <v>0.0745459033595095</v>
      </c>
    </row>
    <row r="122" spans="2:21" ht="12.75">
      <c r="B122" s="13">
        <f>RootCalculations!G124</f>
        <v>91.235</v>
      </c>
      <c r="C122" s="106" t="str">
        <f>RootCalculations!C124</f>
        <v>Springfield Utility Board</v>
      </c>
      <c r="D122" s="105">
        <f>RootCalculations!T124</f>
        <v>33.949064274110405</v>
      </c>
      <c r="E122" s="105">
        <f>RootCalculations!AS124</f>
        <v>35.5763854636149</v>
      </c>
      <c r="F122" s="105">
        <f>RootCalculations!BR124</f>
        <v>34.790963136607154</v>
      </c>
      <c r="G122" s="107">
        <f>RootCalculations!CC124</f>
        <v>35.90132553133049</v>
      </c>
      <c r="H122" s="105">
        <f ca="1">RootCalculations!Z124</f>
        <v>34.90901605903751</v>
      </c>
      <c r="I122" s="105">
        <f ca="1">RootCalculations!AY124</f>
        <v>36.38031310262951</v>
      </c>
      <c r="J122" s="105">
        <f ca="1">RootCalculations!BX124</f>
        <v>35.05800570624853</v>
      </c>
      <c r="K122" s="105">
        <f ca="1">RootCalculations!CG124</f>
        <v>39.30481757441425</v>
      </c>
      <c r="L122" s="13">
        <f ca="1">RootCalculations!V124</f>
        <v>84.84855</v>
      </c>
      <c r="M122" s="108">
        <f ca="1">RootCalculations!U124</f>
        <v>0.93</v>
      </c>
      <c r="N122" s="58">
        <f t="shared" si="22"/>
        <v>0</v>
      </c>
      <c r="O122" s="58">
        <f t="shared" si="23"/>
        <v>0.04793419860898762</v>
      </c>
      <c r="P122" s="58">
        <f t="shared" si="24"/>
        <v>0.024798882693764845</v>
      </c>
      <c r="Q122" s="58">
        <f t="shared" si="25"/>
        <v>0.05750559842996572</v>
      </c>
      <c r="R122" s="58">
        <v>0</v>
      </c>
      <c r="S122" s="58">
        <f ca="1" t="shared" si="26"/>
        <v>0.0421466202629075</v>
      </c>
      <c r="T122" s="58">
        <f ca="1" t="shared" si="27"/>
        <v>0.0042679417534727815</v>
      </c>
      <c r="U122" s="58">
        <f ca="1" t="shared" si="28"/>
        <v>0.1259216675698518</v>
      </c>
    </row>
    <row r="123" spans="2:21" ht="12.75">
      <c r="B123" s="13">
        <f>RootCalculations!G141</f>
        <v>99.701</v>
      </c>
      <c r="C123" s="106" t="str">
        <f>RootCalculations!C141</f>
        <v>Wells Rural Elec Coop</v>
      </c>
      <c r="D123" s="105">
        <f>RootCalculations!T141</f>
        <v>35.09892011710843</v>
      </c>
      <c r="E123" s="105">
        <f>RootCalculations!AS141</f>
        <v>35.5763854636149</v>
      </c>
      <c r="F123" s="105">
        <f>RootCalculations!BR141</f>
        <v>35.101002584722366</v>
      </c>
      <c r="G123" s="107">
        <f>RootCalculations!CC141</f>
        <v>35.90132553133049</v>
      </c>
      <c r="H123" s="105">
        <f ca="1">RootCalculations!Z141</f>
        <v>41.61288306154514</v>
      </c>
      <c r="I123" s="105">
        <f ca="1">RootCalculations!AY141</f>
        <v>40.98863704936222</v>
      </c>
      <c r="J123" s="105">
        <f ca="1">RootCalculations!BX141</f>
        <v>41.09231950754349</v>
      </c>
      <c r="K123" s="105">
        <f ca="1">RootCalculations!CG141</f>
        <v>39.30481757441425</v>
      </c>
      <c r="L123" s="13">
        <f ca="1">RootCalculations!V141</f>
        <v>125.62325999999999</v>
      </c>
      <c r="M123" s="108">
        <f ca="1">RootCalculations!U141</f>
        <v>1.26</v>
      </c>
      <c r="N123" s="58">
        <f t="shared" si="22"/>
        <v>0</v>
      </c>
      <c r="O123" s="58">
        <f t="shared" si="23"/>
        <v>0.013603419846348386</v>
      </c>
      <c r="P123" s="58">
        <f t="shared" si="24"/>
        <v>5.933138703384522E-05</v>
      </c>
      <c r="Q123" s="58">
        <f t="shared" si="25"/>
        <v>0.022861256458740487</v>
      </c>
      <c r="R123" s="58">
        <v>0</v>
      </c>
      <c r="S123" s="58">
        <f ca="1" t="shared" si="26"/>
        <v>-0.015001268027011405</v>
      </c>
      <c r="T123" s="58">
        <f ca="1" t="shared" si="27"/>
        <v>-0.012509672863371124</v>
      </c>
      <c r="U123" s="58">
        <f ca="1" t="shared" si="28"/>
        <v>-0.05546516648984112</v>
      </c>
    </row>
    <row r="124" spans="2:21" ht="12.75">
      <c r="B124" s="13">
        <f>RootCalculations!G24</f>
        <v>100.606</v>
      </c>
      <c r="C124" s="106" t="str">
        <f>RootCalculations!C24</f>
        <v>Central Electric Coop</v>
      </c>
      <c r="D124" s="105">
        <f>RootCalculations!T24</f>
        <v>39.387118659922976</v>
      </c>
      <c r="E124" s="105">
        <f>RootCalculations!AS24</f>
        <v>36.490378977210405</v>
      </c>
      <c r="F124" s="105">
        <f>RootCalculations!BR24</f>
        <v>38.22571071062286</v>
      </c>
      <c r="G124" s="107">
        <f>RootCalculations!CC24</f>
        <v>35.90132553133049</v>
      </c>
      <c r="H124" s="105">
        <f ca="1">RootCalculations!Z24</f>
        <v>43.83270248051664</v>
      </c>
      <c r="I124" s="105">
        <f ca="1">RootCalculations!AY24</f>
        <v>41.39531889410186</v>
      </c>
      <c r="J124" s="105">
        <f ca="1">RootCalculations!BX24</f>
        <v>42.397626693432485</v>
      </c>
      <c r="K124" s="105">
        <f ca="1">RootCalculations!CG24</f>
        <v>39.30481757441425</v>
      </c>
      <c r="L124" s="13">
        <f ca="1">RootCalculations!V24</f>
        <v>119.72113999999999</v>
      </c>
      <c r="M124" s="108">
        <f ca="1">RootCalculations!U24</f>
        <v>1.19</v>
      </c>
      <c r="N124" s="58">
        <f t="shared" si="22"/>
        <v>0</v>
      </c>
      <c r="O124" s="58">
        <f t="shared" si="23"/>
        <v>-0.0735453564837697</v>
      </c>
      <c r="P124" s="58">
        <f t="shared" si="24"/>
        <v>-0.029486999527128743</v>
      </c>
      <c r="Q124" s="58">
        <f t="shared" si="25"/>
        <v>-0.08850084106658285</v>
      </c>
      <c r="R124" s="58">
        <v>0</v>
      </c>
      <c r="S124" s="58">
        <f ca="1" t="shared" si="26"/>
        <v>-0.05560650948907786</v>
      </c>
      <c r="T124" s="58">
        <f ca="1" t="shared" si="27"/>
        <v>-0.03273984276287856</v>
      </c>
      <c r="U124" s="58">
        <f ca="1" t="shared" si="28"/>
        <v>-0.10329924120272993</v>
      </c>
    </row>
    <row r="125" spans="2:21" ht="12.75">
      <c r="B125" s="13">
        <f>RootCalculations!G95</f>
        <v>101.351</v>
      </c>
      <c r="C125" s="106" t="str">
        <f>RootCalculations!C95</f>
        <v>Lower Valley Energy</v>
      </c>
      <c r="D125" s="105">
        <f>RootCalculations!T95</f>
        <v>38.35646566897131</v>
      </c>
      <c r="E125" s="105">
        <f>RootCalculations!AS95</f>
        <v>36.01720129438755</v>
      </c>
      <c r="F125" s="105">
        <f>RootCalculations!BR95</f>
        <v>37.504430158852564</v>
      </c>
      <c r="G125" s="107">
        <f>RootCalculations!CC95</f>
        <v>35.90132553133049</v>
      </c>
      <c r="H125" s="105">
        <f ca="1">RootCalculations!Z95</f>
        <v>38.17352031232497</v>
      </c>
      <c r="I125" s="105">
        <f ca="1">RootCalculations!AY95</f>
        <v>36.38031310262951</v>
      </c>
      <c r="J125" s="105">
        <f ca="1">RootCalculations!BX95</f>
        <v>36.688639933980845</v>
      </c>
      <c r="K125" s="105">
        <f ca="1">RootCalculations!CG95</f>
        <v>39.30481757441425</v>
      </c>
      <c r="L125" s="13">
        <f ca="1">RootCalculations!V95</f>
        <v>97.29696</v>
      </c>
      <c r="M125" s="108">
        <f ca="1">RootCalculations!U95</f>
        <v>0.96</v>
      </c>
      <c r="N125" s="58">
        <f t="shared" si="22"/>
        <v>0</v>
      </c>
      <c r="O125" s="58">
        <f t="shared" si="23"/>
        <v>-0.060987484998549446</v>
      </c>
      <c r="P125" s="58">
        <f t="shared" si="24"/>
        <v>-0.022213608455796896</v>
      </c>
      <c r="Q125" s="58">
        <f t="shared" si="25"/>
        <v>-0.06400850794829405</v>
      </c>
      <c r="R125" s="58">
        <v>0</v>
      </c>
      <c r="S125" s="58">
        <f ca="1" t="shared" si="26"/>
        <v>-0.046975159613887985</v>
      </c>
      <c r="T125" s="58">
        <f ca="1" t="shared" si="27"/>
        <v>-0.038898177747172635</v>
      </c>
      <c r="U125" s="58">
        <f ca="1" t="shared" si="28"/>
        <v>0.029635654580277837</v>
      </c>
    </row>
    <row r="126" spans="2:21" ht="12.75">
      <c r="B126" s="13">
        <f>RootCalculations!G49</f>
        <v>112.295</v>
      </c>
      <c r="C126" s="106" t="str">
        <f>RootCalculations!C49</f>
        <v>Richland, City of</v>
      </c>
      <c r="D126" s="105">
        <f>RootCalculations!T49</f>
        <v>36.04852998974013</v>
      </c>
      <c r="E126" s="105">
        <f>RootCalculations!AS49</f>
        <v>35.5763854636149</v>
      </c>
      <c r="F126" s="105">
        <f>RootCalculations!BR49</f>
        <v>35.5691880434787</v>
      </c>
      <c r="G126" s="107">
        <f>RootCalculations!CC49</f>
        <v>35.90132553133049</v>
      </c>
      <c r="H126" s="105">
        <f ca="1">RootCalculations!Z49</f>
        <v>38.421314097390685</v>
      </c>
      <c r="I126" s="105">
        <f ca="1">RootCalculations!AY49</f>
        <v>37.02966950425443</v>
      </c>
      <c r="J126" s="105">
        <f ca="1">RootCalculations!BX49</f>
        <v>37.37367425108796</v>
      </c>
      <c r="K126" s="105">
        <f ca="1">RootCalculations!CG49</f>
        <v>39.30481757441425</v>
      </c>
      <c r="L126" s="13">
        <f ca="1">RootCalculations!V49</f>
        <v>119.0327</v>
      </c>
      <c r="M126" s="108">
        <f ca="1">RootCalculations!U49</f>
        <v>1.06</v>
      </c>
      <c r="N126" s="58">
        <f t="shared" si="22"/>
        <v>0</v>
      </c>
      <c r="O126" s="58">
        <f t="shared" si="23"/>
        <v>-0.013097469612758483</v>
      </c>
      <c r="P126" s="58">
        <f t="shared" si="24"/>
        <v>-0.01329712879825784</v>
      </c>
      <c r="Q126" s="58">
        <f t="shared" si="25"/>
        <v>-0.004083507939201314</v>
      </c>
      <c r="R126" s="58">
        <v>0</v>
      </c>
      <c r="S126" s="58">
        <f ca="1" t="shared" si="26"/>
        <v>-0.03622064017926885</v>
      </c>
      <c r="T126" s="58">
        <f ca="1" t="shared" si="27"/>
        <v>-0.02726715290495152</v>
      </c>
      <c r="U126" s="58">
        <f ca="1" t="shared" si="28"/>
        <v>0.022995139489088157</v>
      </c>
    </row>
    <row r="127" spans="2:21" ht="12.75">
      <c r="B127" s="13">
        <f>RootCalculations!G92</f>
        <v>117.458</v>
      </c>
      <c r="C127" s="106" t="str">
        <f>RootCalculations!C92</f>
        <v>Lewis County PUD #1</v>
      </c>
      <c r="D127" s="105">
        <f>RootCalculations!T92</f>
        <v>34.87442403261697</v>
      </c>
      <c r="E127" s="105">
        <f>RootCalculations!AS92</f>
        <v>35.5763854636149</v>
      </c>
      <c r="F127" s="105">
        <f>RootCalculations!BR92</f>
        <v>34.90411781248581</v>
      </c>
      <c r="G127" s="107">
        <f>RootCalculations!CC92</f>
        <v>35.90132553133049</v>
      </c>
      <c r="H127" s="105">
        <f ca="1">RootCalculations!Z92</f>
        <v>37.350117215936635</v>
      </c>
      <c r="I127" s="105">
        <f ca="1">RootCalculations!AY92</f>
        <v>36.68154264216859</v>
      </c>
      <c r="J127" s="105">
        <f ca="1">RootCalculations!BX92</f>
        <v>36.75216389995677</v>
      </c>
      <c r="K127" s="105">
        <f ca="1">RootCalculations!CG92</f>
        <v>39.30481757441425</v>
      </c>
      <c r="L127" s="13">
        <f ca="1">RootCalculations!V92</f>
        <v>124.50548</v>
      </c>
      <c r="M127" s="108">
        <f ca="1">RootCalculations!U92</f>
        <v>1.06</v>
      </c>
      <c r="N127" s="58">
        <f t="shared" si="22"/>
        <v>0</v>
      </c>
      <c r="O127" s="58">
        <f t="shared" si="23"/>
        <v>0.020128258758951967</v>
      </c>
      <c r="P127" s="58">
        <f t="shared" si="24"/>
        <v>0.0008514486100490437</v>
      </c>
      <c r="Q127" s="58">
        <f t="shared" si="25"/>
        <v>0.029445690565472527</v>
      </c>
      <c r="R127" s="58">
        <v>0</v>
      </c>
      <c r="S127" s="58">
        <f ca="1" t="shared" si="26"/>
        <v>-0.01790020014937943</v>
      </c>
      <c r="T127" s="58">
        <f ca="1" t="shared" si="27"/>
        <v>-0.01600940935534012</v>
      </c>
      <c r="U127" s="58">
        <f ca="1" t="shared" si="28"/>
        <v>0.052334517377192524</v>
      </c>
    </row>
    <row r="128" spans="2:21" ht="12.75">
      <c r="B128" s="13">
        <f>RootCalculations!G81</f>
        <v>120.365</v>
      </c>
      <c r="C128" s="106" t="str">
        <f>RootCalculations!C81</f>
        <v>Grays Harbor PUD #1</v>
      </c>
      <c r="D128" s="105">
        <f>RootCalculations!T81</f>
        <v>33.949064274110405</v>
      </c>
      <c r="E128" s="105">
        <f>RootCalculations!AS81</f>
        <v>35.5763854636149</v>
      </c>
      <c r="F128" s="105">
        <f>RootCalculations!BR81</f>
        <v>34.790963136607154</v>
      </c>
      <c r="G128" s="107">
        <f>RootCalculations!CC81</f>
        <v>35.90132553133049</v>
      </c>
      <c r="H128" s="105">
        <f ca="1">RootCalculations!Z81</f>
        <v>37.49128262796996</v>
      </c>
      <c r="I128" s="105">
        <f ca="1">RootCalculations!AY81</f>
        <v>39.39088818295115</v>
      </c>
      <c r="J128" s="105">
        <f ca="1">RootCalculations!BX81</f>
        <v>39.262223417776106</v>
      </c>
      <c r="K128" s="105">
        <f ca="1">RootCalculations!CG81</f>
        <v>39.30481757441425</v>
      </c>
      <c r="L128" s="13">
        <f ca="1">RootCalculations!V81</f>
        <v>144.438</v>
      </c>
      <c r="M128" s="108">
        <f ca="1">RootCalculations!U81</f>
        <v>1.2</v>
      </c>
      <c r="N128" s="58">
        <f t="shared" si="22"/>
        <v>0</v>
      </c>
      <c r="O128" s="58">
        <f t="shared" si="23"/>
        <v>0.04793419860898762</v>
      </c>
      <c r="P128" s="58">
        <f t="shared" si="24"/>
        <v>0.024798882693764845</v>
      </c>
      <c r="Q128" s="58">
        <f t="shared" si="25"/>
        <v>0.05750559842996572</v>
      </c>
      <c r="R128" s="58">
        <v>0</v>
      </c>
      <c r="S128" s="58">
        <f ca="1" t="shared" si="26"/>
        <v>0.05066792656392116</v>
      </c>
      <c r="T128" s="58">
        <f ca="1" t="shared" si="27"/>
        <v>0.04723606837833172</v>
      </c>
      <c r="U128" s="58">
        <f ca="1" t="shared" si="28"/>
        <v>0.0483721766587768</v>
      </c>
    </row>
    <row r="129" spans="2:21" ht="12.75">
      <c r="B129" s="13">
        <f>RootCalculations!G86</f>
        <v>128.883</v>
      </c>
      <c r="C129" s="106" t="str">
        <f>RootCalculations!C86</f>
        <v>Inland P &amp; L</v>
      </c>
      <c r="D129" s="105">
        <f>RootCalculations!T86</f>
        <v>39.37955751892368</v>
      </c>
      <c r="E129" s="105">
        <f>RootCalculations!AS86</f>
        <v>36.515702062697564</v>
      </c>
      <c r="F129" s="105">
        <f>RootCalculations!BR86</f>
        <v>38.24879224268157</v>
      </c>
      <c r="G129" s="107">
        <f>RootCalculations!CC86</f>
        <v>35.90132553133049</v>
      </c>
      <c r="H129" s="105">
        <f ca="1">RootCalculations!Z86</f>
        <v>37.60978181272459</v>
      </c>
      <c r="I129" s="105">
        <f ca="1">RootCalculations!AY86</f>
        <v>36.38031310262951</v>
      </c>
      <c r="J129" s="105">
        <f ca="1">RootCalculations!BX86</f>
        <v>35.745821911194085</v>
      </c>
      <c r="K129" s="105">
        <f ca="1">RootCalculations!CG86</f>
        <v>39.30481757441425</v>
      </c>
      <c r="L129" s="13">
        <f ca="1">RootCalculations!V86</f>
        <v>115.99470000000001</v>
      </c>
      <c r="M129" s="108">
        <f ca="1">RootCalculations!U86</f>
        <v>0.9</v>
      </c>
      <c r="N129" s="58">
        <f t="shared" si="22"/>
        <v>0</v>
      </c>
      <c r="O129" s="58">
        <f t="shared" si="23"/>
        <v>-0.07272441938561414</v>
      </c>
      <c r="P129" s="58">
        <f t="shared" si="24"/>
        <v>-0.0287145246794287</v>
      </c>
      <c r="Q129" s="58">
        <f t="shared" si="25"/>
        <v>-0.08832582707212344</v>
      </c>
      <c r="R129" s="58">
        <v>0</v>
      </c>
      <c r="S129" s="58">
        <f ca="1" t="shared" si="26"/>
        <v>-0.03269013141892563</v>
      </c>
      <c r="T129" s="58">
        <f ca="1" t="shared" si="27"/>
        <v>-0.04956050824256231</v>
      </c>
      <c r="U129" s="58">
        <f ca="1" t="shared" si="28"/>
        <v>0.04506901343193048</v>
      </c>
    </row>
    <row r="130" spans="2:21" ht="12.75">
      <c r="B130" s="13">
        <f>RootCalculations!G78</f>
        <v>136.496</v>
      </c>
      <c r="C130" s="106" t="str">
        <f>RootCalculations!C78</f>
        <v>Franklin County PUD #1</v>
      </c>
      <c r="D130" s="105">
        <f>RootCalculations!T78</f>
        <v>38.04059490117754</v>
      </c>
      <c r="E130" s="105">
        <f>RootCalculations!AS78</f>
        <v>35.58618713313953</v>
      </c>
      <c r="F130" s="105">
        <f>RootCalculations!BR78</f>
        <v>37.00156388272957</v>
      </c>
      <c r="G130" s="107">
        <f>RootCalculations!CC78</f>
        <v>35.90132553133049</v>
      </c>
      <c r="H130" s="105">
        <f ca="1">RootCalculations!Z78</f>
        <v>43.560244636402615</v>
      </c>
      <c r="I130" s="105">
        <f ca="1">RootCalculations!AY78</f>
        <v>41.5634102310467</v>
      </c>
      <c r="J130" s="105">
        <f ca="1">RootCalculations!BX78</f>
        <v>42.25529702418488</v>
      </c>
      <c r="K130" s="105">
        <f ca="1">RootCalculations!CG78</f>
        <v>39.30481757441425</v>
      </c>
      <c r="L130" s="13">
        <f ca="1">RootCalculations!V78</f>
        <v>169.25504</v>
      </c>
      <c r="M130" s="108">
        <f ca="1">RootCalculations!U78</f>
        <v>1.24</v>
      </c>
      <c r="N130" s="58">
        <f t="shared" si="22"/>
        <v>0</v>
      </c>
      <c r="O130" s="58">
        <f t="shared" si="23"/>
        <v>-0.0645207514344639</v>
      </c>
      <c r="P130" s="58">
        <f t="shared" si="24"/>
        <v>-0.02731374262540276</v>
      </c>
      <c r="Q130" s="58">
        <f t="shared" si="25"/>
        <v>-0.0562364856649713</v>
      </c>
      <c r="R130" s="58">
        <v>0</v>
      </c>
      <c r="S130" s="58">
        <f ca="1" t="shared" si="26"/>
        <v>-0.0458407527786745</v>
      </c>
      <c r="T130" s="58">
        <f ca="1" t="shared" si="27"/>
        <v>-0.02995730678535291</v>
      </c>
      <c r="U130" s="58">
        <f ca="1" t="shared" si="28"/>
        <v>-0.09769061440100757</v>
      </c>
    </row>
    <row r="131" spans="2:21" ht="12.75">
      <c r="B131" s="13">
        <f>RootCalculations!G25</f>
        <v>152.465</v>
      </c>
      <c r="C131" s="106" t="str">
        <f>RootCalculations!C25</f>
        <v>Central Lincoln PUD</v>
      </c>
      <c r="D131" s="105">
        <f>RootCalculations!T25</f>
        <v>33.949064274110405</v>
      </c>
      <c r="E131" s="105">
        <f>RootCalculations!AS25</f>
        <v>35.5763854636149</v>
      </c>
      <c r="F131" s="105">
        <f>RootCalculations!BR25</f>
        <v>34.790963136607154</v>
      </c>
      <c r="G131" s="107">
        <f>RootCalculations!CC25</f>
        <v>35.90132553133049</v>
      </c>
      <c r="H131" s="105">
        <f ca="1">RootCalculations!Z25</f>
        <v>37.46548601183434</v>
      </c>
      <c r="I131" s="105">
        <f ca="1">RootCalculations!AY25</f>
        <v>37.928161735253305</v>
      </c>
      <c r="J131" s="105">
        <f ca="1">RootCalculations!BX25</f>
        <v>37.79156572695549</v>
      </c>
      <c r="K131" s="105">
        <f ca="1">RootCalculations!CG25</f>
        <v>39.30481757441425</v>
      </c>
      <c r="L131" s="13">
        <f ca="1">RootCalculations!V25</f>
        <v>172.28545</v>
      </c>
      <c r="M131" s="108">
        <f ca="1">RootCalculations!U25</f>
        <v>1.13</v>
      </c>
      <c r="N131" s="58">
        <f t="shared" si="22"/>
        <v>0</v>
      </c>
      <c r="O131" s="58">
        <f t="shared" si="23"/>
        <v>0.04793419860898762</v>
      </c>
      <c r="P131" s="58">
        <f t="shared" si="24"/>
        <v>0.024798882693764845</v>
      </c>
      <c r="Q131" s="58">
        <f t="shared" si="25"/>
        <v>0.05750559842996572</v>
      </c>
      <c r="R131" s="58">
        <v>0</v>
      </c>
      <c r="S131" s="58">
        <f ca="1" t="shared" si="26"/>
        <v>0.012349385332218077</v>
      </c>
      <c r="T131" s="58">
        <f ca="1" t="shared" si="27"/>
        <v>0.008703469508393846</v>
      </c>
      <c r="U131" s="58">
        <f ca="1" t="shared" si="28"/>
        <v>0.04909402648610839</v>
      </c>
    </row>
    <row r="132" spans="2:21" ht="12.75">
      <c r="B132" s="13">
        <f>RootCalculations!G77</f>
        <v>195.664</v>
      </c>
      <c r="C132" s="106" t="str">
        <f>RootCalculations!C77</f>
        <v>Flathead Elec Coop</v>
      </c>
      <c r="D132" s="105">
        <f>RootCalculations!T77</f>
        <v>38.249028131570675</v>
      </c>
      <c r="E132" s="105">
        <f>RootCalculations!AS77</f>
        <v>35.76199683200347</v>
      </c>
      <c r="F132" s="105">
        <f>RootCalculations!BR77</f>
        <v>37.22637594447634</v>
      </c>
      <c r="G132" s="107">
        <f>RootCalculations!CC77</f>
        <v>35.90132553133049</v>
      </c>
      <c r="H132" s="105">
        <f ca="1">RootCalculations!Z77</f>
        <v>41.45106080823587</v>
      </c>
      <c r="I132" s="105">
        <f ca="1">RootCalculations!AY77</f>
        <v>39.192528783832906</v>
      </c>
      <c r="J132" s="105">
        <f ca="1">RootCalculations!BX77</f>
        <v>40.01230737796066</v>
      </c>
      <c r="K132" s="105">
        <f ca="1">RootCalculations!CG77</f>
        <v>39.30481757441425</v>
      </c>
      <c r="L132" s="13">
        <f ca="1">RootCalculations!V77</f>
        <v>217.18704</v>
      </c>
      <c r="M132" s="108">
        <f ca="1">RootCalculations!U77</f>
        <v>1.11</v>
      </c>
      <c r="N132" s="58">
        <f t="shared" si="22"/>
        <v>0</v>
      </c>
      <c r="O132" s="58">
        <f t="shared" si="23"/>
        <v>-0.06502207823456863</v>
      </c>
      <c r="P132" s="58">
        <f t="shared" si="24"/>
        <v>-0.026736684225716068</v>
      </c>
      <c r="Q132" s="58">
        <f t="shared" si="25"/>
        <v>-0.06137940530578856</v>
      </c>
      <c r="R132" s="58">
        <v>0</v>
      </c>
      <c r="S132" s="58">
        <f ca="1" t="shared" si="26"/>
        <v>-0.05448671229070745</v>
      </c>
      <c r="T132" s="58">
        <f ca="1" t="shared" si="27"/>
        <v>-0.03470968902174265</v>
      </c>
      <c r="U132" s="58">
        <f ca="1" t="shared" si="28"/>
        <v>-0.05177776375255483</v>
      </c>
    </row>
    <row r="133" spans="2:21" ht="12.75">
      <c r="B133" s="13">
        <f>RootCalculations!G19</f>
        <v>212.387</v>
      </c>
      <c r="C133" s="106" t="str">
        <f>RootCalculations!C19</f>
        <v>Benton County PUD #1</v>
      </c>
      <c r="D133" s="105">
        <f>RootCalculations!T19</f>
        <v>35.52362207266493</v>
      </c>
      <c r="E133" s="105">
        <f>RootCalculations!AS19</f>
        <v>35.5763854636149</v>
      </c>
      <c r="F133" s="105">
        <f>RootCalculations!BR19</f>
        <v>35.211030840811276</v>
      </c>
      <c r="G133" s="107">
        <f>RootCalculations!CC19</f>
        <v>35.90132553133049</v>
      </c>
      <c r="H133" s="105">
        <f ca="1">RootCalculations!Z19</f>
        <v>39.9128335646106</v>
      </c>
      <c r="I133" s="105">
        <f ca="1">RootCalculations!AY19</f>
        <v>38.87595521620546</v>
      </c>
      <c r="J133" s="105">
        <f ca="1">RootCalculations!BX19</f>
        <v>39.08009883347465</v>
      </c>
      <c r="K133" s="105">
        <f ca="1">RootCalculations!CG19</f>
        <v>39.30481757441425</v>
      </c>
      <c r="L133" s="13">
        <f ca="1">RootCalculations!V19</f>
        <v>244.24505</v>
      </c>
      <c r="M133" s="108">
        <f ca="1">RootCalculations!U19</f>
        <v>1.15</v>
      </c>
      <c r="N133" s="58">
        <f t="shared" si="22"/>
        <v>0</v>
      </c>
      <c r="O133" s="58">
        <f t="shared" si="23"/>
        <v>0.0014853043656990472</v>
      </c>
      <c r="P133" s="58">
        <f t="shared" si="24"/>
        <v>-0.008799531512136749</v>
      </c>
      <c r="Q133" s="58">
        <f t="shared" si="25"/>
        <v>0.01063245909701882</v>
      </c>
      <c r="R133" s="58">
        <v>0</v>
      </c>
      <c r="S133" s="58">
        <f ca="1" t="shared" si="26"/>
        <v>-0.025978570194136852</v>
      </c>
      <c r="T133" s="58">
        <f ca="1" t="shared" si="27"/>
        <v>-0.02086383392920288</v>
      </c>
      <c r="U133" s="58">
        <f ca="1" t="shared" si="28"/>
        <v>-0.015233596211907563</v>
      </c>
    </row>
    <row r="134" spans="2:21" ht="12.75">
      <c r="B134" s="13">
        <f>RootCalculations!G131</f>
        <v>221.953</v>
      </c>
      <c r="C134" s="106" t="str">
        <f>RootCalculations!C131</f>
        <v>Umatilla Elec Coop</v>
      </c>
      <c r="D134" s="105">
        <f>RootCalculations!T131</f>
        <v>48.239278154868835</v>
      </c>
      <c r="E134" s="105">
        <f>RootCalculations!AS131</f>
        <v>40.182117858122695</v>
      </c>
      <c r="F134" s="105">
        <f>RootCalculations!BR131</f>
        <v>44.053825506367964</v>
      </c>
      <c r="G134" s="107">
        <f>RootCalculations!CC131</f>
        <v>35.90132553133049</v>
      </c>
      <c r="H134" s="105">
        <f ca="1">RootCalculations!Z131</f>
        <v>52.76674115902626</v>
      </c>
      <c r="I134" s="105">
        <f ca="1">RootCalculations!AY131</f>
        <v>47.09957982167973</v>
      </c>
      <c r="J134" s="105">
        <f ca="1">RootCalculations!BX131</f>
        <v>49.532627382992324</v>
      </c>
      <c r="K134" s="105">
        <f ca="1">RootCalculations!CG131</f>
        <v>39.30481757441425</v>
      </c>
      <c r="L134" s="13">
        <f ca="1">RootCalculations!V131</f>
        <v>308.51466999999997</v>
      </c>
      <c r="M134" s="108">
        <f ca="1">RootCalculations!U131</f>
        <v>1.39</v>
      </c>
      <c r="N134" s="58">
        <f t="shared" si="22"/>
        <v>0</v>
      </c>
      <c r="O134" s="58">
        <f t="shared" si="23"/>
        <v>-0.16702489350854688</v>
      </c>
      <c r="P134" s="58">
        <f t="shared" si="24"/>
        <v>-0.08676441291396952</v>
      </c>
      <c r="Q134" s="58">
        <f t="shared" si="25"/>
        <v>-0.25576569748677014</v>
      </c>
      <c r="R134" s="58">
        <v>0</v>
      </c>
      <c r="S134" s="58">
        <f ca="1" t="shared" si="26"/>
        <v>-0.10740025275138876</v>
      </c>
      <c r="T134" s="58">
        <f ca="1" t="shared" si="27"/>
        <v>-0.061290762040564495</v>
      </c>
      <c r="U134" s="58">
        <f ca="1" t="shared" si="28"/>
        <v>-0.2551213754899324</v>
      </c>
    </row>
    <row r="135" spans="2:21" ht="12.75">
      <c r="B135" s="13">
        <f>RootCalculations!G72</f>
        <v>244.723</v>
      </c>
      <c r="C135" s="106" t="str">
        <f>RootCalculations!C72</f>
        <v>Eugene Water &amp; Electric Board</v>
      </c>
      <c r="D135" s="105">
        <f>RootCalculations!T72</f>
        <v>33.949064274110405</v>
      </c>
      <c r="E135" s="105">
        <f>RootCalculations!AS72</f>
        <v>35.5763854636149</v>
      </c>
      <c r="F135" s="105">
        <f>RootCalculations!BR72</f>
        <v>34.790963136607154</v>
      </c>
      <c r="G135" s="107">
        <f>RootCalculations!CC72</f>
        <v>35.90132553133049</v>
      </c>
      <c r="H135" s="105">
        <f ca="1">RootCalculations!Z72</f>
        <v>39.776644468789605</v>
      </c>
      <c r="I135" s="105">
        <f ca="1">RootCalculations!AY72</f>
        <v>40.04076503836891</v>
      </c>
      <c r="J135" s="105">
        <f ca="1">RootCalculations!BX72</f>
        <v>39.9156240567067</v>
      </c>
      <c r="K135" s="105">
        <f ca="1">RootCalculations!CG72</f>
        <v>39.30481757441425</v>
      </c>
      <c r="L135" s="13">
        <f ca="1">RootCalculations!V72</f>
        <v>303.45652</v>
      </c>
      <c r="M135" s="108">
        <f ca="1">RootCalculations!U72</f>
        <v>1.24</v>
      </c>
      <c r="N135" s="58">
        <f t="shared" si="22"/>
        <v>0</v>
      </c>
      <c r="O135" s="58">
        <f aca="true" t="shared" si="29" ref="O135:O141">E135/$D135-1</f>
        <v>0.04793419860898762</v>
      </c>
      <c r="P135" s="58">
        <f aca="true" t="shared" si="30" ref="P135:P141">F135/$D135-1</f>
        <v>0.024798882693764845</v>
      </c>
      <c r="Q135" s="58">
        <f aca="true" t="shared" si="31" ref="Q135:Q141">G135/$D135-1</f>
        <v>0.05750559842996572</v>
      </c>
      <c r="R135" s="58">
        <v>0</v>
      </c>
      <c r="S135" s="58">
        <f aca="true" t="shared" si="32" ref="S135:S141">I135/$H135-1</f>
        <v>0.0066400917700975</v>
      </c>
      <c r="T135" s="58">
        <f aca="true" t="shared" si="33" ref="T135:T141">J135/$H135-1</f>
        <v>0.003493999802475667</v>
      </c>
      <c r="U135" s="58">
        <f aca="true" t="shared" si="34" ref="U135:U141">K135/$H135-1</f>
        <v>-0.011861907928044757</v>
      </c>
    </row>
    <row r="136" spans="2:21" ht="12.75">
      <c r="B136" s="13">
        <f>RootCalculations!G55</f>
        <v>327.759</v>
      </c>
      <c r="C136" s="106" t="str">
        <f>RootCalculations!C55</f>
        <v>Clark County PUD #1</v>
      </c>
      <c r="D136" s="105">
        <f>RootCalculations!T55</f>
        <v>34.77366014943455</v>
      </c>
      <c r="E136" s="105">
        <f>RootCalculations!AS55</f>
        <v>35.5763854636149</v>
      </c>
      <c r="F136" s="105">
        <f>RootCalculations!BR55</f>
        <v>34.790963136607154</v>
      </c>
      <c r="G136" s="107">
        <f>RootCalculations!CC55</f>
        <v>35.90132553133049</v>
      </c>
      <c r="H136" s="105">
        <f ca="1">RootCalculations!Z55</f>
        <v>34.90901605903751</v>
      </c>
      <c r="I136" s="105">
        <f ca="1">RootCalculations!AY55</f>
        <v>36.38031310262951</v>
      </c>
      <c r="J136" s="105">
        <f ca="1">RootCalculations!BX55</f>
        <v>35.05800570624853</v>
      </c>
      <c r="K136" s="105">
        <f ca="1">RootCalculations!CG55</f>
        <v>39.30481757441425</v>
      </c>
      <c r="L136" s="13">
        <f ca="1">RootCalculations!V55</f>
        <v>294.98310000000004</v>
      </c>
      <c r="M136" s="108">
        <f ca="1">RootCalculations!U55</f>
        <v>0.9</v>
      </c>
      <c r="N136" s="58">
        <f t="shared" si="22"/>
        <v>0</v>
      </c>
      <c r="O136" s="58">
        <f t="shared" si="29"/>
        <v>0.02308429169465498</v>
      </c>
      <c r="P136" s="58">
        <f t="shared" si="30"/>
        <v>0.00049758889625795</v>
      </c>
      <c r="Q136" s="58">
        <f t="shared" si="31"/>
        <v>0.03242872268981678</v>
      </c>
      <c r="R136" s="58">
        <v>0</v>
      </c>
      <c r="S136" s="58">
        <f ca="1" t="shared" si="32"/>
        <v>0.0421466202629075</v>
      </c>
      <c r="T136" s="58">
        <f ca="1" t="shared" si="33"/>
        <v>0.0042679417534727815</v>
      </c>
      <c r="U136" s="58">
        <f ca="1" t="shared" si="34"/>
        <v>0.1259216675698518</v>
      </c>
    </row>
    <row r="137" spans="2:21" ht="12.75">
      <c r="B137" s="13">
        <f>RootCalculations!G126</f>
        <v>367.225</v>
      </c>
      <c r="C137" s="106" t="str">
        <f>RootCalculations!C126</f>
        <v>Tacoma Public Utilities</v>
      </c>
      <c r="D137" s="105">
        <f>RootCalculations!T126</f>
        <v>33.949064274110405</v>
      </c>
      <c r="E137" s="105">
        <f>RootCalculations!AS126</f>
        <v>35.5763854636149</v>
      </c>
      <c r="F137" s="105">
        <f>RootCalculations!BR126</f>
        <v>34.790963136607154</v>
      </c>
      <c r="G137" s="107">
        <f>RootCalculations!CC126</f>
        <v>35.90132553133049</v>
      </c>
      <c r="H137" s="105">
        <f ca="1">RootCalculations!Z126</f>
        <v>35.51961431779881</v>
      </c>
      <c r="I137" s="105">
        <f ca="1">RootCalculations!AY126</f>
        <v>36.476069696573774</v>
      </c>
      <c r="J137" s="105">
        <f ca="1">RootCalculations!BX126</f>
        <v>36.331600107393136</v>
      </c>
      <c r="K137" s="105">
        <f ca="1">RootCalculations!CG126</f>
        <v>39.30481757441425</v>
      </c>
      <c r="L137" s="13">
        <f ca="1">RootCalculations!V126</f>
        <v>411.2920000000001</v>
      </c>
      <c r="M137" s="108">
        <f ca="1">RootCalculations!U126</f>
        <v>1.12</v>
      </c>
      <c r="N137" s="58">
        <f aca="true" t="shared" si="35" ref="N137:N141">N136</f>
        <v>0</v>
      </c>
      <c r="O137" s="58">
        <f t="shared" si="29"/>
        <v>0.04793419860898762</v>
      </c>
      <c r="P137" s="58">
        <f t="shared" si="30"/>
        <v>0.024798882693764845</v>
      </c>
      <c r="Q137" s="58">
        <f t="shared" si="31"/>
        <v>0.05750559842996572</v>
      </c>
      <c r="R137" s="58">
        <v>0</v>
      </c>
      <c r="S137" s="58">
        <f ca="1" t="shared" si="32"/>
        <v>0.02692752714647817</v>
      </c>
      <c r="T137" s="58">
        <f ca="1" t="shared" si="33"/>
        <v>0.022860208512665015</v>
      </c>
      <c r="U137" s="58">
        <f ca="1" t="shared" si="34"/>
        <v>0.10656656411718646</v>
      </c>
    </row>
    <row r="138" spans="2:21" ht="12.75">
      <c r="B138" s="13">
        <f>RootCalculations!G120</f>
        <v>459.044</v>
      </c>
      <c r="C138" s="106" t="str">
        <f>RootCalculations!C120</f>
        <v>Seattle City Light</v>
      </c>
      <c r="D138" s="105">
        <f>RootCalculations!T120</f>
        <v>33.949064274110405</v>
      </c>
      <c r="E138" s="105">
        <f>RootCalculations!AS120</f>
        <v>35.5763854636149</v>
      </c>
      <c r="F138" s="105">
        <f>RootCalculations!BR120</f>
        <v>34.790963136607154</v>
      </c>
      <c r="G138" s="107">
        <f>RootCalculations!CC120</f>
        <v>35.90132553133049</v>
      </c>
      <c r="H138" s="105">
        <f ca="1">RootCalculations!Z120</f>
        <v>34.90901605903751</v>
      </c>
      <c r="I138" s="105">
        <f ca="1">RootCalculations!AY120</f>
        <v>36.38031310262951</v>
      </c>
      <c r="J138" s="105">
        <f ca="1">RootCalculations!BX120</f>
        <v>35.05800570624853</v>
      </c>
      <c r="K138" s="105">
        <f ca="1">RootCalculations!CG120</f>
        <v>39.30481757441425</v>
      </c>
      <c r="L138" s="13">
        <f ca="1">RootCalculations!V120</f>
        <v>481.9962</v>
      </c>
      <c r="M138" s="108">
        <f ca="1">RootCalculations!U120</f>
        <v>1.05</v>
      </c>
      <c r="N138" s="58">
        <f t="shared" si="35"/>
        <v>0</v>
      </c>
      <c r="O138" s="58">
        <f t="shared" si="29"/>
        <v>0.04793419860898762</v>
      </c>
      <c r="P138" s="58">
        <f t="shared" si="30"/>
        <v>0.024798882693764845</v>
      </c>
      <c r="Q138" s="58">
        <f t="shared" si="31"/>
        <v>0.05750559842996572</v>
      </c>
      <c r="R138" s="58">
        <v>0</v>
      </c>
      <c r="S138" s="58">
        <f ca="1" t="shared" si="32"/>
        <v>0.0421466202629075</v>
      </c>
      <c r="T138" s="58">
        <f ca="1" t="shared" si="33"/>
        <v>0.0042679417534727815</v>
      </c>
      <c r="U138" s="58">
        <f ca="1" t="shared" si="34"/>
        <v>0.1259216675698518</v>
      </c>
    </row>
    <row r="139" spans="2:21" ht="12.75">
      <c r="B139" s="13">
        <f>RootCalculations!G65</f>
        <v>472.121</v>
      </c>
      <c r="C139" s="106" t="str">
        <f>RootCalculations!C65</f>
        <v>Cowlitz County PUD #1</v>
      </c>
      <c r="D139" s="105">
        <f>RootCalculations!T65</f>
        <v>33.949064274110405</v>
      </c>
      <c r="E139" s="105">
        <f>RootCalculations!AS65</f>
        <v>35.5763854636149</v>
      </c>
      <c r="F139" s="105">
        <f>RootCalculations!BR65</f>
        <v>34.790963136607154</v>
      </c>
      <c r="G139" s="107">
        <f>RootCalculations!CC65</f>
        <v>35.90132553133049</v>
      </c>
      <c r="H139" s="105">
        <f ca="1">RootCalculations!Z65</f>
        <v>36.43977168421452</v>
      </c>
      <c r="I139" s="105">
        <f ca="1">RootCalculations!AY65</f>
        <v>39.75868245327329</v>
      </c>
      <c r="J139" s="105">
        <f ca="1">RootCalculations!BX65</f>
        <v>39.63201195420431</v>
      </c>
      <c r="K139" s="105">
        <f ca="1">RootCalculations!CG65</f>
        <v>39.30481757441425</v>
      </c>
      <c r="L139" s="13">
        <f ca="1">RootCalculations!V65</f>
        <v>580.7088299999999</v>
      </c>
      <c r="M139" s="108">
        <f ca="1">RootCalculations!U65</f>
        <v>1.23</v>
      </c>
      <c r="N139" s="58">
        <f t="shared" si="35"/>
        <v>0</v>
      </c>
      <c r="O139" s="58">
        <f t="shared" si="29"/>
        <v>0.04793419860898762</v>
      </c>
      <c r="P139" s="58">
        <f t="shared" si="30"/>
        <v>0.024798882693764845</v>
      </c>
      <c r="Q139" s="58">
        <f t="shared" si="31"/>
        <v>0.05750559842996572</v>
      </c>
      <c r="R139" s="58">
        <v>0</v>
      </c>
      <c r="S139" s="58">
        <f ca="1" t="shared" si="32"/>
        <v>0.09107935136971501</v>
      </c>
      <c r="T139" s="58">
        <f ca="1" t="shared" si="33"/>
        <v>0.0876031907568906</v>
      </c>
      <c r="U139" s="58">
        <f ca="1" t="shared" si="34"/>
        <v>0.07862414493230352</v>
      </c>
    </row>
    <row r="140" spans="2:21" ht="12.75">
      <c r="B140" s="13">
        <f>RootCalculations!G151</f>
        <v>671.8930000000001</v>
      </c>
      <c r="C140" s="106" t="str">
        <f>RootCalculations!C151</f>
        <v>PNGC Aggregate</v>
      </c>
      <c r="D140" s="105">
        <f>RootCalculations!T151</f>
        <v>36.971558975542415</v>
      </c>
      <c r="E140" s="105">
        <f>RootCalculations!AS151</f>
        <v>35.5763854636149</v>
      </c>
      <c r="F140" s="105">
        <f>RootCalculations!BR151</f>
        <v>36.491116386336984</v>
      </c>
      <c r="G140" s="107">
        <f>RootCalculations!CC151</f>
        <v>35.90132553133049</v>
      </c>
      <c r="H140" s="105">
        <f ca="1">RootCalculations!Z151</f>
        <v>37.315966388800426</v>
      </c>
      <c r="I140" s="105">
        <f ca="1">RootCalculations!AY151</f>
        <v>36.38031310262951</v>
      </c>
      <c r="J140" s="105">
        <f ca="1">RootCalculations!BX151</f>
        <v>36.20380870119058</v>
      </c>
      <c r="K140" s="105">
        <f ca="1">RootCalculations!CG151</f>
        <v>39.30481757441425</v>
      </c>
      <c r="L140" s="13">
        <f ca="1">RootCalculations!V151</f>
        <v>658.4551400000001</v>
      </c>
      <c r="M140" s="108">
        <f ca="1">RootCalculations!U151</f>
        <v>0.98</v>
      </c>
      <c r="N140" s="58">
        <f t="shared" si="35"/>
        <v>0</v>
      </c>
      <c r="O140" s="58">
        <f t="shared" si="29"/>
        <v>-0.03773639929142447</v>
      </c>
      <c r="P140" s="58">
        <f t="shared" si="30"/>
        <v>-0.012994923733761321</v>
      </c>
      <c r="Q140" s="58">
        <f t="shared" si="31"/>
        <v>-0.028947479464415005</v>
      </c>
      <c r="R140" s="58">
        <v>0</v>
      </c>
      <c r="S140" s="58">
        <f ca="1" t="shared" si="32"/>
        <v>-0.02507380557754324</v>
      </c>
      <c r="T140" s="58">
        <f ca="1" t="shared" si="33"/>
        <v>-0.029803802373014054</v>
      </c>
      <c r="U140" s="58">
        <f ca="1" t="shared" si="34"/>
        <v>0.05329759290947189</v>
      </c>
    </row>
    <row r="141" spans="2:21" ht="12.75">
      <c r="B141" s="13">
        <f>RootCalculations!G122</f>
        <v>715.036</v>
      </c>
      <c r="C141" s="106" t="str">
        <f>RootCalculations!C122</f>
        <v>Snohomish County PUD #1</v>
      </c>
      <c r="D141" s="105">
        <f>RootCalculations!T122</f>
        <v>33.949064274110405</v>
      </c>
      <c r="E141" s="105">
        <f>RootCalculations!AS122</f>
        <v>35.5763854636149</v>
      </c>
      <c r="F141" s="105">
        <f>RootCalculations!BR122</f>
        <v>34.790963136607154</v>
      </c>
      <c r="G141" s="107">
        <f>RootCalculations!CC122</f>
        <v>35.90132553133049</v>
      </c>
      <c r="H141" s="105">
        <f ca="1">RootCalculations!Z122</f>
        <v>38.86888005885782</v>
      </c>
      <c r="I141" s="105">
        <f ca="1">RootCalculations!AY122</f>
        <v>41.073139692647125</v>
      </c>
      <c r="J141" s="105">
        <f ca="1">RootCalculations!BX122</f>
        <v>40.95359648655652</v>
      </c>
      <c r="K141" s="105">
        <f ca="1">RootCalculations!CG122</f>
        <v>39.30481757441425</v>
      </c>
      <c r="L141" s="13">
        <f ca="1">RootCalculations!V122</f>
        <v>929.5468</v>
      </c>
      <c r="M141" s="108">
        <f ca="1">RootCalculations!U122</f>
        <v>1.3</v>
      </c>
      <c r="N141" s="58">
        <f t="shared" si="35"/>
        <v>0</v>
      </c>
      <c r="O141" s="58">
        <f t="shared" si="29"/>
        <v>0.04793419860898762</v>
      </c>
      <c r="P141" s="58">
        <f t="shared" si="30"/>
        <v>0.024798882693764845</v>
      </c>
      <c r="Q141" s="58">
        <f t="shared" si="31"/>
        <v>0.05750559842996572</v>
      </c>
      <c r="R141" s="58">
        <v>0</v>
      </c>
      <c r="S141" s="58">
        <f ca="1" t="shared" si="32"/>
        <v>0.05671014010312292</v>
      </c>
      <c r="T141" s="58">
        <f ca="1" t="shared" si="33"/>
        <v>0.053634589536459165</v>
      </c>
      <c r="U141" s="58">
        <f ca="1" t="shared" si="34"/>
        <v>0.011215592394128837</v>
      </c>
    </row>
    <row r="142" ht="12.75">
      <c r="D142" s="105"/>
    </row>
    <row r="143" ht="12.75">
      <c r="D143" s="105"/>
    </row>
    <row r="144" ht="12.75">
      <c r="D144" s="105"/>
    </row>
    <row r="145" ht="12.75">
      <c r="D145" s="105"/>
    </row>
    <row r="146" ht="12.75">
      <c r="D146" s="105"/>
    </row>
    <row r="147" ht="12.75">
      <c r="D147" s="105"/>
    </row>
    <row r="148" ht="12.75">
      <c r="D148" s="105"/>
    </row>
    <row r="149" ht="12.75">
      <c r="D149" s="105"/>
    </row>
    <row r="150" ht="12.75">
      <c r="D150" s="105"/>
    </row>
    <row r="151" ht="12.75">
      <c r="D151" s="105"/>
    </row>
    <row r="152" ht="12.75">
      <c r="D152" s="105"/>
    </row>
    <row r="153" ht="12.75">
      <c r="D153" s="105"/>
    </row>
    <row r="154" ht="12.75">
      <c r="D154" s="105"/>
    </row>
    <row r="155" ht="12.75">
      <c r="D155" s="105"/>
    </row>
    <row r="156" ht="12.75">
      <c r="D156" s="105"/>
    </row>
    <row r="157" ht="12.75">
      <c r="D157" s="105"/>
    </row>
    <row r="158" ht="12.75">
      <c r="D158" s="105"/>
    </row>
    <row r="159" ht="12.75">
      <c r="D159" s="105"/>
    </row>
    <row r="160" ht="12.75">
      <c r="D160" s="105"/>
    </row>
    <row r="161" ht="12.75">
      <c r="D161" s="105"/>
    </row>
    <row r="162" ht="12.75">
      <c r="D162" s="105"/>
    </row>
    <row r="163" ht="12.75">
      <c r="D163" s="105"/>
    </row>
    <row r="164" ht="12.75">
      <c r="D164" s="105"/>
    </row>
    <row r="165" ht="12.75">
      <c r="D165" s="105"/>
    </row>
    <row r="166" ht="12.75">
      <c r="D166" s="105"/>
    </row>
    <row r="167" ht="12.75">
      <c r="D167" s="105"/>
    </row>
    <row r="168" ht="12.75">
      <c r="D168" s="105"/>
    </row>
    <row r="169" ht="12.75">
      <c r="D169" s="105"/>
    </row>
    <row r="170" ht="12.75">
      <c r="D170" s="105"/>
    </row>
    <row r="171" ht="12.75">
      <c r="D171" s="105"/>
    </row>
    <row r="172" ht="12.75">
      <c r="D172" s="105"/>
    </row>
    <row r="173" ht="12.75">
      <c r="D173" s="105"/>
    </row>
    <row r="174" ht="12.75">
      <c r="D174" s="105"/>
    </row>
    <row r="175" ht="12.75">
      <c r="D175" s="105"/>
    </row>
    <row r="176" ht="12.75">
      <c r="D176" s="105"/>
    </row>
    <row r="177" ht="12.75">
      <c r="D177" s="105"/>
    </row>
    <row r="178" ht="12.75">
      <c r="D178" s="105"/>
    </row>
    <row r="179" ht="12.75">
      <c r="D179" s="105"/>
    </row>
    <row r="180" ht="12.75">
      <c r="D180" s="105"/>
    </row>
    <row r="181" ht="12.75">
      <c r="D181" s="105"/>
    </row>
    <row r="182" ht="12.75">
      <c r="D182" s="105"/>
    </row>
    <row r="183" ht="12.75">
      <c r="D183" s="105"/>
    </row>
    <row r="184" ht="12.75">
      <c r="D184" s="105"/>
    </row>
    <row r="185" ht="12.75">
      <c r="D185" s="105"/>
    </row>
    <row r="186" ht="12.75">
      <c r="D186" s="105"/>
    </row>
    <row r="187" ht="12.75">
      <c r="D187" s="105"/>
    </row>
    <row r="188" ht="12.75">
      <c r="D188" s="105"/>
    </row>
    <row r="189" ht="12.75">
      <c r="D189" s="105"/>
    </row>
    <row r="190" ht="12.75">
      <c r="D190" s="105"/>
    </row>
    <row r="191" ht="12.75">
      <c r="D191" s="105"/>
    </row>
    <row r="192" ht="12.75">
      <c r="D192" s="105"/>
    </row>
    <row r="193" ht="12.75">
      <c r="D193" s="105"/>
    </row>
    <row r="194" ht="12.75">
      <c r="D194" s="105"/>
    </row>
    <row r="195" ht="12.75">
      <c r="D195" s="105"/>
    </row>
    <row r="196" ht="12.75">
      <c r="D196" s="105"/>
    </row>
    <row r="197" ht="12.75">
      <c r="D197" s="105"/>
    </row>
    <row r="198" ht="12.75">
      <c r="D198" s="105"/>
    </row>
    <row r="199" ht="12.75">
      <c r="D199" s="105"/>
    </row>
    <row r="200" ht="12.75">
      <c r="D200" s="105"/>
    </row>
    <row r="201" ht="12.75">
      <c r="D201" s="105"/>
    </row>
    <row r="202" ht="12.75">
      <c r="D202" s="105"/>
    </row>
    <row r="203" ht="12.75">
      <c r="D203" s="105"/>
    </row>
    <row r="204" ht="12.75">
      <c r="D204" s="105"/>
    </row>
    <row r="205" ht="12.75">
      <c r="D205" s="105"/>
    </row>
    <row r="206" ht="12.75">
      <c r="D206" s="105"/>
    </row>
    <row r="207" ht="12.75">
      <c r="D207" s="105"/>
    </row>
    <row r="208" ht="12.75">
      <c r="D208" s="105"/>
    </row>
    <row r="209" ht="12.75">
      <c r="D209" s="105"/>
    </row>
    <row r="210" ht="12.75">
      <c r="D210" s="105"/>
    </row>
    <row r="211" ht="12.75">
      <c r="D211" s="105"/>
    </row>
    <row r="212" ht="12.75">
      <c r="D212" s="105"/>
    </row>
    <row r="213" ht="12.75">
      <c r="D213" s="105"/>
    </row>
    <row r="214" ht="12.75">
      <c r="D214" s="105"/>
    </row>
    <row r="215" ht="12.75">
      <c r="D215" s="105"/>
    </row>
    <row r="216" ht="12.75">
      <c r="D216" s="105"/>
    </row>
    <row r="217" ht="12.75">
      <c r="D217" s="105"/>
    </row>
    <row r="218" ht="12.75">
      <c r="D218" s="105"/>
    </row>
    <row r="219" ht="12.75">
      <c r="D219" s="105"/>
    </row>
    <row r="220" ht="12.75">
      <c r="D220" s="105"/>
    </row>
    <row r="221" ht="12.75">
      <c r="D221" s="105"/>
    </row>
    <row r="222" ht="12.75">
      <c r="D222" s="105"/>
    </row>
    <row r="223" ht="12.75">
      <c r="D223" s="105"/>
    </row>
    <row r="224" ht="12.75">
      <c r="D224" s="105"/>
    </row>
    <row r="225" ht="12.75">
      <c r="D225" s="105"/>
    </row>
    <row r="226" ht="12.75">
      <c r="D226" s="105"/>
    </row>
    <row r="227" ht="12.75">
      <c r="D227" s="105"/>
    </row>
    <row r="228" ht="12.75">
      <c r="D228" s="105"/>
    </row>
    <row r="229" ht="12.75">
      <c r="D229" s="105"/>
    </row>
    <row r="230" ht="12.75">
      <c r="D230" s="105"/>
    </row>
    <row r="231" ht="12.75">
      <c r="D231" s="105"/>
    </row>
    <row r="232" ht="12.75">
      <c r="D232" s="105"/>
    </row>
    <row r="233" ht="12.75">
      <c r="D233" s="105"/>
    </row>
    <row r="234" ht="12.75">
      <c r="D234" s="105"/>
    </row>
    <row r="235" ht="12.75">
      <c r="D235" s="105"/>
    </row>
    <row r="236" ht="12.75">
      <c r="D236" s="105"/>
    </row>
    <row r="237" ht="12.75">
      <c r="D237" s="105"/>
    </row>
    <row r="238" ht="12.75">
      <c r="D238" s="105"/>
    </row>
    <row r="239" ht="12.75">
      <c r="D239" s="105"/>
    </row>
    <row r="240" ht="12.75">
      <c r="D240" s="105"/>
    </row>
    <row r="241" ht="12.75">
      <c r="D241" s="105"/>
    </row>
    <row r="242" ht="12.75">
      <c r="D242" s="105"/>
    </row>
    <row r="243" ht="12.75">
      <c r="D243" s="105"/>
    </row>
    <row r="244" ht="12.75">
      <c r="D244" s="105"/>
    </row>
    <row r="245" ht="12.75">
      <c r="D245" s="105"/>
    </row>
    <row r="246" ht="12.75">
      <c r="D246" s="105"/>
    </row>
    <row r="247" ht="12.75">
      <c r="D247" s="105"/>
    </row>
    <row r="248" ht="12.75">
      <c r="D248" s="105"/>
    </row>
    <row r="249" ht="12.75">
      <c r="D249" s="105"/>
    </row>
    <row r="250" ht="12.75">
      <c r="D250" s="105"/>
    </row>
    <row r="251" ht="12.75">
      <c r="D251" s="105"/>
    </row>
    <row r="252" ht="12.75">
      <c r="D252" s="105"/>
    </row>
    <row r="253" ht="12.75">
      <c r="D253" s="105"/>
    </row>
    <row r="254" ht="12.75">
      <c r="D254" s="105"/>
    </row>
    <row r="255" ht="12.75">
      <c r="D255" s="105"/>
    </row>
    <row r="256" ht="12.75">
      <c r="D256" s="105"/>
    </row>
    <row r="257" ht="12.75">
      <c r="D257" s="105"/>
    </row>
    <row r="258" ht="12.75">
      <c r="D258" s="105"/>
    </row>
    <row r="259" ht="12.75">
      <c r="D259" s="105"/>
    </row>
    <row r="260" ht="12.75">
      <c r="D260" s="105"/>
    </row>
    <row r="261" ht="12.75">
      <c r="D261" s="105"/>
    </row>
    <row r="262" ht="12.75">
      <c r="D262" s="105"/>
    </row>
    <row r="263" ht="12.75">
      <c r="D263" s="105"/>
    </row>
    <row r="264" ht="12.75">
      <c r="D264" s="105"/>
    </row>
    <row r="265" ht="12.75">
      <c r="D265" s="105"/>
    </row>
    <row r="266" ht="12.75">
      <c r="D266" s="105"/>
    </row>
    <row r="267" ht="12.75">
      <c r="D267" s="105"/>
    </row>
    <row r="268" ht="12.75">
      <c r="D268" s="105"/>
    </row>
    <row r="269" ht="12.75">
      <c r="D269" s="105"/>
    </row>
    <row r="270" ht="12.75">
      <c r="D270" s="105"/>
    </row>
    <row r="271" ht="12.75">
      <c r="D271" s="105"/>
    </row>
    <row r="272" ht="12.75">
      <c r="D272" s="105"/>
    </row>
    <row r="273" ht="12.75">
      <c r="D273" s="105"/>
    </row>
    <row r="274" ht="12.75">
      <c r="D274" s="105"/>
    </row>
    <row r="275" ht="12.75">
      <c r="D275" s="105"/>
    </row>
    <row r="276" ht="12.75">
      <c r="D276" s="105"/>
    </row>
    <row r="277" ht="12.75">
      <c r="D277" s="105"/>
    </row>
    <row r="278" ht="12.75">
      <c r="D278" s="105"/>
    </row>
    <row r="279" ht="12.75">
      <c r="D279" s="105"/>
    </row>
    <row r="280" ht="12.75">
      <c r="D280" s="105"/>
    </row>
    <row r="281" ht="12.75">
      <c r="D281" s="105"/>
    </row>
    <row r="282" ht="12.75">
      <c r="D282" s="105"/>
    </row>
    <row r="283" ht="12.75">
      <c r="D283" s="105"/>
    </row>
    <row r="284" ht="12.75">
      <c r="D284" s="105"/>
    </row>
    <row r="285" ht="12.75">
      <c r="D285" s="105"/>
    </row>
    <row r="286" ht="12.75">
      <c r="D286" s="105"/>
    </row>
    <row r="287" ht="12.75">
      <c r="D287" s="105"/>
    </row>
    <row r="288" ht="12.75">
      <c r="D288" s="105"/>
    </row>
    <row r="289" ht="12.75">
      <c r="D289" s="105"/>
    </row>
    <row r="290" ht="12.75">
      <c r="D290" s="105"/>
    </row>
    <row r="291" ht="12.75">
      <c r="D291" s="105"/>
    </row>
    <row r="292" ht="12.75">
      <c r="D292" s="105"/>
    </row>
    <row r="293" ht="12.75">
      <c r="D293" s="105"/>
    </row>
    <row r="294" ht="12.75">
      <c r="D294" s="105"/>
    </row>
    <row r="295" ht="12.75">
      <c r="D295" s="105"/>
    </row>
    <row r="296" ht="12.75">
      <c r="D296" s="105"/>
    </row>
    <row r="297" ht="12.75">
      <c r="D297" s="105"/>
    </row>
    <row r="298" ht="12.75">
      <c r="D298" s="105"/>
    </row>
    <row r="299" ht="12.75">
      <c r="D299" s="105"/>
    </row>
    <row r="300" ht="12.75">
      <c r="D300" s="105"/>
    </row>
    <row r="301" ht="12.75">
      <c r="D301" s="105"/>
    </row>
    <row r="302" ht="12.75">
      <c r="D302" s="105"/>
    </row>
    <row r="303" ht="12.75">
      <c r="D303" s="105"/>
    </row>
    <row r="304" ht="12.75">
      <c r="D304" s="105"/>
    </row>
    <row r="305" ht="12.75">
      <c r="D305" s="105"/>
    </row>
    <row r="306" ht="12.75">
      <c r="D306" s="105"/>
    </row>
    <row r="307" ht="12.75">
      <c r="D307" s="105"/>
    </row>
    <row r="308" ht="12.75">
      <c r="D308" s="105"/>
    </row>
    <row r="309" ht="12.75">
      <c r="D309" s="105"/>
    </row>
    <row r="310" ht="12.75">
      <c r="D310" s="105"/>
    </row>
    <row r="311" ht="12.75">
      <c r="D311" s="105"/>
    </row>
    <row r="312" ht="12.75">
      <c r="D312" s="105"/>
    </row>
    <row r="313" ht="12.75">
      <c r="D313" s="105"/>
    </row>
    <row r="314" ht="12.75">
      <c r="D314" s="105"/>
    </row>
    <row r="315" ht="12.75">
      <c r="D315" s="105"/>
    </row>
    <row r="316" ht="12.75">
      <c r="D316" s="105"/>
    </row>
    <row r="317" ht="12.75">
      <c r="D317" s="105"/>
    </row>
    <row r="318" ht="12.75">
      <c r="D318" s="105"/>
    </row>
    <row r="319" ht="12.75">
      <c r="D319" s="105"/>
    </row>
    <row r="320" ht="12.75">
      <c r="D320" s="105"/>
    </row>
    <row r="321" ht="12.75">
      <c r="D321" s="105"/>
    </row>
    <row r="322" ht="12.75">
      <c r="D322" s="105"/>
    </row>
    <row r="323" ht="12.75">
      <c r="D323" s="105"/>
    </row>
    <row r="324" ht="12.75">
      <c r="D324" s="105"/>
    </row>
    <row r="325" ht="12.75">
      <c r="D325" s="105"/>
    </row>
    <row r="326" ht="12.75">
      <c r="D326" s="105"/>
    </row>
    <row r="327" ht="12.75">
      <c r="D327" s="105"/>
    </row>
    <row r="328" ht="12.75">
      <c r="D328" s="105"/>
    </row>
    <row r="329" ht="12.75">
      <c r="D329" s="105"/>
    </row>
    <row r="330" ht="12.75">
      <c r="D330" s="105"/>
    </row>
    <row r="331" ht="12.75">
      <c r="D331" s="105"/>
    </row>
    <row r="332" ht="12.75">
      <c r="D332" s="105"/>
    </row>
    <row r="333" ht="12.75">
      <c r="D333" s="105"/>
    </row>
    <row r="334" ht="12.75">
      <c r="D334" s="105"/>
    </row>
    <row r="335" ht="12.75">
      <c r="D335" s="105"/>
    </row>
    <row r="336" ht="12.75">
      <c r="D336" s="105"/>
    </row>
    <row r="337" ht="12.75">
      <c r="D337" s="105"/>
    </row>
    <row r="338" ht="12.75">
      <c r="D338" s="105"/>
    </row>
    <row r="339" ht="12.75">
      <c r="D339" s="105"/>
    </row>
    <row r="340" ht="12.75">
      <c r="D340" s="105"/>
    </row>
    <row r="341" ht="12.75">
      <c r="D341" s="105"/>
    </row>
    <row r="342" ht="12.75">
      <c r="D342" s="105"/>
    </row>
    <row r="343" ht="12.75">
      <c r="D343" s="105"/>
    </row>
    <row r="344" ht="12.75">
      <c r="D344" s="105"/>
    </row>
    <row r="345" ht="12.75">
      <c r="D345" s="105"/>
    </row>
    <row r="346" ht="12.75">
      <c r="D346" s="105"/>
    </row>
    <row r="347" ht="12.75">
      <c r="D347" s="105"/>
    </row>
    <row r="348" ht="12.75">
      <c r="D348" s="105"/>
    </row>
    <row r="349" ht="12.75">
      <c r="D349" s="105"/>
    </row>
    <row r="350" ht="12.75">
      <c r="D350" s="105"/>
    </row>
    <row r="351" ht="12.75">
      <c r="D351" s="105"/>
    </row>
    <row r="352" ht="12.75">
      <c r="D352" s="105"/>
    </row>
    <row r="353" ht="12.75">
      <c r="D353" s="105"/>
    </row>
    <row r="354" ht="12.75">
      <c r="D354" s="105"/>
    </row>
    <row r="355" ht="12.75">
      <c r="D355" s="105"/>
    </row>
    <row r="356" ht="12.75">
      <c r="D356" s="105"/>
    </row>
    <row r="357" ht="12.75">
      <c r="D357" s="105"/>
    </row>
    <row r="358" ht="12.75">
      <c r="D358" s="105"/>
    </row>
    <row r="359" ht="12.75">
      <c r="D359" s="105"/>
    </row>
    <row r="360" ht="12.75">
      <c r="D360" s="105"/>
    </row>
    <row r="361" ht="12.75">
      <c r="D361" s="105"/>
    </row>
    <row r="362" ht="12.75">
      <c r="D362" s="105"/>
    </row>
    <row r="363" ht="12.75">
      <c r="D363" s="105"/>
    </row>
    <row r="364" ht="12.75">
      <c r="D364" s="105"/>
    </row>
    <row r="365" ht="12.75">
      <c r="D365" s="105"/>
    </row>
    <row r="366" ht="12.75">
      <c r="D366" s="105"/>
    </row>
    <row r="367" ht="12.75">
      <c r="D367" s="105"/>
    </row>
    <row r="368" ht="12.75">
      <c r="D368" s="105"/>
    </row>
    <row r="369" ht="12.75">
      <c r="D369" s="105"/>
    </row>
    <row r="370" ht="12.75">
      <c r="D370" s="105"/>
    </row>
    <row r="371" ht="12.75">
      <c r="D371" s="105"/>
    </row>
    <row r="372" ht="12.75">
      <c r="D372" s="105"/>
    </row>
    <row r="373" ht="12.75">
      <c r="D373" s="105"/>
    </row>
    <row r="374" ht="12.75">
      <c r="D374" s="105"/>
    </row>
    <row r="375" ht="12.75">
      <c r="D375" s="105"/>
    </row>
    <row r="376" ht="12.75">
      <c r="D376" s="105"/>
    </row>
    <row r="377" ht="12.75">
      <c r="D377" s="105"/>
    </row>
    <row r="378" ht="12.75">
      <c r="D378" s="105"/>
    </row>
    <row r="379" ht="12.75">
      <c r="D379" s="105"/>
    </row>
    <row r="380" ht="12.75">
      <c r="D380" s="105"/>
    </row>
    <row r="381" ht="12.75">
      <c r="D381" s="105"/>
    </row>
    <row r="382" ht="12.75">
      <c r="D382" s="105"/>
    </row>
    <row r="383" ht="12.75">
      <c r="D383" s="105"/>
    </row>
    <row r="384" ht="12.75">
      <c r="D384" s="105"/>
    </row>
    <row r="385" ht="12.75">
      <c r="D385" s="105"/>
    </row>
    <row r="386" ht="12.75">
      <c r="D386" s="105"/>
    </row>
    <row r="387" ht="12.75">
      <c r="D387" s="105"/>
    </row>
    <row r="388" ht="12.75">
      <c r="D388" s="105"/>
    </row>
    <row r="389" ht="12.75">
      <c r="D389" s="105"/>
    </row>
    <row r="390" ht="12.75">
      <c r="D390" s="105"/>
    </row>
    <row r="391" ht="12.75">
      <c r="D391" s="105"/>
    </row>
    <row r="392" ht="12.75">
      <c r="D392" s="105"/>
    </row>
    <row r="393" ht="12.75">
      <c r="D393" s="105"/>
    </row>
    <row r="394" ht="12.75">
      <c r="D394" s="105"/>
    </row>
    <row r="395" ht="12.75">
      <c r="D395" s="105"/>
    </row>
    <row r="396" ht="12.75">
      <c r="D396" s="105"/>
    </row>
  </sheetData>
  <autoFilter ref="B6:U141">
    <sortState ref="B7:U396">
      <sortCondition sortBy="value" ref="B7:B396"/>
    </sortState>
  </autoFilter>
  <mergeCells count="2">
    <mergeCell ref="AA7:AE7"/>
    <mergeCell ref="W6:AE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962B99468E2244999DC894E83FB1F5" ma:contentTypeVersion="0" ma:contentTypeDescription="Create a new document." ma:contentTypeScope="" ma:versionID="4494ede63e73c6f7e7c7a578fda32ca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A5842B30-82DF-4C6A-81B9-94F389A57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5776C94-982C-4AB5-8D8D-0EB5245FF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Fisher,Daniel H (BPA) - PSR-6</cp:lastModifiedBy>
  <cp:lastPrinted>2016-08-06T00:15:30Z</cp:lastPrinted>
  <dcterms:created xsi:type="dcterms:W3CDTF">2012-09-13T22:14:00Z</dcterms:created>
  <dcterms:modified xsi:type="dcterms:W3CDTF">2023-03-22T15:52:19Z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0x01010001962B99468E2244999DC894E83FB1F5</vt:lpwstr>
  </property>
  <property fmtid="{D5CDD505-2E9C-101B-9397-08002B2CF9AE}" pid="3" name="Order">
    <vt:r8>2000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