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.bpa.gov\appdata\mypc_userdata\UserData\Users\AMH0708\Desktop\"/>
    </mc:Choice>
  </mc:AlternateContent>
  <bookViews>
    <workbookView xWindow="210" yWindow="150" windowWidth="26610" windowHeight="10350" activeTab="2"/>
  </bookViews>
  <sheets>
    <sheet name="TRL Energy" sheetId="4" r:id="rId1"/>
    <sheet name="TRL CSP" sheetId="5" r:id="rId2"/>
    <sheet name="Dedicated Resources Energy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'TRL CSP'!$A$7:$AF$23</definedName>
    <definedName name="_xlnm._FilterDatabase" localSheetId="0" hidden="1">'TRL Energy'!$A$7:$AL$23</definedName>
    <definedName name="CHWM">[1]Init!$B$6</definedName>
    <definedName name="Customer">'TRL Energy'!$B$8:$B$23</definedName>
    <definedName name="loadstart">[1]Init!$B$17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_xlnm.Print_Titles" localSheetId="2">'Dedicated Resources Energy'!$A:$B,'Dedicated Resources Energy'!$1:$2</definedName>
    <definedName name="_xlnm.Print_Titles" localSheetId="1">'TRL CSP'!$A:$B</definedName>
    <definedName name="_xlnm.Print_Titles" localSheetId="0">'TRL Energy'!$A:$B</definedName>
    <definedName name="RHWMlock">[2]Init!$C$14</definedName>
    <definedName name="startmonth">[3]Init!$C$12</definedName>
  </definedNames>
  <calcPr calcId="162913"/>
</workbook>
</file>

<file path=xl/calcChain.xml><?xml version="1.0" encoding="utf-8"?>
<calcChain xmlns="http://schemas.openxmlformats.org/spreadsheetml/2006/main">
  <c r="D16" i="5" l="1"/>
  <c r="N16" i="5"/>
  <c r="M16" i="5"/>
  <c r="L16" i="5"/>
  <c r="K16" i="5"/>
  <c r="J16" i="5"/>
  <c r="H16" i="5"/>
  <c r="I16" i="5"/>
  <c r="G16" i="5"/>
  <c r="F16" i="5"/>
  <c r="E16" i="5"/>
  <c r="C16" i="5"/>
  <c r="N14" i="5"/>
  <c r="M14" i="5"/>
  <c r="L14" i="5"/>
  <c r="K14" i="5"/>
  <c r="J14" i="5"/>
  <c r="I14" i="5"/>
  <c r="H14" i="5"/>
  <c r="G14" i="5"/>
  <c r="F14" i="5"/>
  <c r="E14" i="5"/>
  <c r="D14" i="5"/>
  <c r="C14" i="5"/>
  <c r="N8" i="5"/>
  <c r="M8" i="5"/>
  <c r="L8" i="5"/>
  <c r="K8" i="5"/>
  <c r="J8" i="5"/>
  <c r="I8" i="5"/>
  <c r="H8" i="5"/>
  <c r="G8" i="5"/>
  <c r="F8" i="5"/>
  <c r="E8" i="5"/>
  <c r="D8" i="5"/>
  <c r="C8" i="5"/>
  <c r="N16" i="4" l="1"/>
  <c r="M16" i="4"/>
  <c r="L16" i="4"/>
  <c r="K16" i="4"/>
  <c r="J16" i="4"/>
  <c r="I16" i="4"/>
  <c r="H16" i="4"/>
  <c r="G16" i="4"/>
  <c r="F16" i="4"/>
  <c r="E16" i="4"/>
  <c r="D16" i="4"/>
  <c r="C16" i="4"/>
  <c r="N8" i="4"/>
  <c r="M8" i="4"/>
  <c r="L8" i="4"/>
  <c r="K8" i="4"/>
  <c r="J8" i="4"/>
  <c r="I8" i="4"/>
  <c r="H8" i="4"/>
  <c r="G8" i="4"/>
  <c r="F8" i="4"/>
  <c r="E8" i="4"/>
  <c r="D8" i="4"/>
  <c r="C8" i="4"/>
  <c r="N14" i="4" l="1"/>
  <c r="M14" i="4"/>
  <c r="L14" i="4"/>
  <c r="K14" i="4"/>
  <c r="J14" i="4"/>
  <c r="I14" i="4"/>
  <c r="H14" i="4"/>
  <c r="G14" i="4"/>
  <c r="F14" i="4"/>
  <c r="E14" i="4"/>
  <c r="D14" i="4"/>
  <c r="C14" i="4"/>
  <c r="A2" i="6" l="1"/>
  <c r="A2" i="5"/>
</calcChain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<sst xmlns="http://schemas.openxmlformats.org/spreadsheetml/2006/main" count="157" uniqueCount="37">
  <si>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</si>
  <si>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</si>
  <si>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</si>
  <si>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</si>
  <si>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</si>
  <si>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</si>
  <si>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</si>
  <si>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</si>
  <si>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</si>
  <si>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</si>
  <si>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</si>
  <si>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</si>
  <si>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</si>
  <si>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</si>
  <si>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</si>
  <si>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</si>
  <si>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</si>
  <si>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</si>
  <si>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</si>
  <si>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</si>
  <si>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</si>
  <si>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</si>
  <si>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</si>
  <si>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</si>
  <si>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</si>
  <si>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</si>
  <si>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</si>
  <si>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</si>
  <si>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</si>
  <si>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FY2020 Total Dedicated Resources - Monthly Energy</t>
  </si>
  <si>
    <t>OKANOGAN PUD</t>
  </si>
  <si>
    <t>FY2020 Measured - Total Retail Load Monthly Energy</t>
  </si>
  <si>
    <t xml:space="preserve">FY2022 Forecast - Total Retail Load Monthly Energy </t>
  </si>
  <si>
    <t>Prepared by BPA, July 30, 2021</t>
  </si>
  <si>
    <t>FY2020 Measured - Monthly Customer System Peak</t>
  </si>
  <si>
    <t xml:space="preserve">FY2022 Forecast - Monthly Customer System Peak </t>
  </si>
  <si>
    <t>FY2022 Total Dedicated Resources - Monthly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</si>
</sst>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  <numFmt numFmtId="168" formatCode="_(* #,##0_);_(* \(#,##0\);_(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9">
      <alignment horizontal="center"/>
    </xf>
    <xf numFmtId="3" fontId="21" fillId="0" borderId="0" applyFont="0" applyFill="0" applyBorder="0" applyAlignment="0" applyProtection="0"/>
    <xf numFmtId="0" fontId="21" fillId="24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0" fontId="3" fillId="0" borderId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35" applyNumberFormat="0" applyAlignment="0" applyProtection="0"/>
    <xf numFmtId="0" fontId="43" fillId="30" borderId="36" applyNumberFormat="0" applyAlignment="0" applyProtection="0"/>
    <xf numFmtId="0" fontId="44" fillId="30" borderId="35" applyNumberFormat="0" applyAlignment="0" applyProtection="0"/>
    <xf numFmtId="0" fontId="45" fillId="0" borderId="37" applyNumberFormat="0" applyFill="0" applyAlignment="0" applyProtection="0"/>
    <xf numFmtId="0" fontId="46" fillId="31" borderId="38" applyNumberFormat="0" applyAlignment="0" applyProtection="0"/>
    <xf numFmtId="0" fontId="47" fillId="0" borderId="0" applyNumberFormat="0" applyFill="0" applyBorder="0" applyAlignment="0" applyProtection="0"/>
    <xf numFmtId="0" fontId="3" fillId="32" borderId="3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0" applyNumberFormat="0" applyFill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50" fillId="56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52" fillId="0" borderId="0"/>
    <xf numFmtId="166" fontId="5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166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9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9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9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</cellStyleXfs>
  <cellXfs count="115">
    <xf numFmtId="0" fontId="0" fillId="0" borderId="0" xfId="0"/>
    <xf numFmtId="0" fontId="28" fillId="0" borderId="0" xfId="38" applyFont="1"/>
    <xf numFmtId="0" fontId="28" fillId="0" borderId="0" xfId="38" applyFont="1" applyAlignment="1">
      <alignment horizontal="center"/>
    </xf>
    <xf numFmtId="0" fontId="28" fillId="0" borderId="0" xfId="0" applyFont="1"/>
    <xf numFmtId="0" fontId="29" fillId="0" borderId="0" xfId="38" applyFont="1"/>
    <xf numFmtId="164" fontId="28" fillId="0" borderId="0" xfId="38" applyNumberFormat="1" applyFont="1" applyFill="1" applyAlignment="1">
      <alignment horizontal="center"/>
    </xf>
    <xf numFmtId="0" fontId="30" fillId="0" borderId="0" xfId="0" applyFont="1" applyFill="1"/>
    <xf numFmtId="0" fontId="28" fillId="0" borderId="0" xfId="0" applyFont="1" applyFill="1"/>
    <xf numFmtId="0" fontId="31" fillId="0" borderId="0" xfId="38" applyFont="1"/>
    <xf numFmtId="3" fontId="28" fillId="0" borderId="0" xfId="0" applyNumberFormat="1" applyFont="1"/>
    <xf numFmtId="164" fontId="28" fillId="0" borderId="0" xfId="0" applyNumberFormat="1" applyFont="1"/>
    <xf numFmtId="0" fontId="28" fillId="0" borderId="0" xfId="0" applyFont="1" applyFill="1" applyBorder="1"/>
    <xf numFmtId="3" fontId="28" fillId="0" borderId="11" xfId="38" applyNumberFormat="1" applyFont="1" applyFill="1" applyBorder="1" applyAlignment="1">
      <alignment horizontal="center"/>
    </xf>
    <xf numFmtId="0" fontId="28" fillId="0" borderId="12" xfId="38" applyFont="1" applyFill="1" applyBorder="1"/>
    <xf numFmtId="0" fontId="28" fillId="0" borderId="13" xfId="38" applyFont="1" applyFill="1" applyBorder="1"/>
    <xf numFmtId="3" fontId="28" fillId="0" borderId="13" xfId="38" applyNumberFormat="1" applyFont="1" applyFill="1" applyBorder="1" applyAlignment="1">
      <alignment horizontal="center"/>
    </xf>
    <xf numFmtId="0" fontId="32" fillId="0" borderId="14" xfId="38" applyFont="1" applyFill="1" applyBorder="1" applyAlignment="1">
      <alignment horizontal="center"/>
    </xf>
    <xf numFmtId="0" fontId="32" fillId="0" borderId="16" xfId="38" applyFont="1" applyFill="1" applyBorder="1" applyAlignment="1">
      <alignment horizontal="center"/>
    </xf>
    <xf numFmtId="0" fontId="32" fillId="0" borderId="15" xfId="38" applyFont="1" applyFill="1" applyBorder="1" applyAlignment="1">
      <alignment horizontal="center"/>
    </xf>
    <xf numFmtId="164" fontId="28" fillId="0" borderId="0" xfId="0" applyNumberFormat="1" applyFont="1" applyFill="1"/>
    <xf numFmtId="0" fontId="32" fillId="0" borderId="0" xfId="0" applyFont="1"/>
    <xf numFmtId="3" fontId="28" fillId="0" borderId="0" xfId="0" applyNumberFormat="1" applyFont="1" applyFill="1"/>
    <xf numFmtId="0" fontId="28" fillId="0" borderId="0" xfId="38" applyFont="1" applyFill="1" applyBorder="1"/>
    <xf numFmtId="3" fontId="28" fillId="0" borderId="0" xfId="0" applyNumberFormat="1" applyFont="1" applyFill="1" applyBorder="1"/>
    <xf numFmtId="3" fontId="28" fillId="0" borderId="0" xfId="38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38" applyFont="1" applyFill="1"/>
    <xf numFmtId="164" fontId="28" fillId="0" borderId="0" xfId="38" applyNumberFormat="1" applyFont="1" applyFill="1" applyBorder="1" applyAlignment="1">
      <alignment horizontal="center"/>
    </xf>
    <xf numFmtId="0" fontId="33" fillId="0" borderId="0" xfId="38" applyFont="1" applyFill="1" applyBorder="1"/>
    <xf numFmtId="1" fontId="28" fillId="0" borderId="0" xfId="0" applyNumberFormat="1" applyFont="1"/>
    <xf numFmtId="17" fontId="32" fillId="0" borderId="29" xfId="38" applyNumberFormat="1" applyFont="1" applyFill="1" applyBorder="1" applyAlignment="1">
      <alignment horizontal="center" wrapText="1"/>
    </xf>
    <xf numFmtId="17" fontId="32" fillId="0" borderId="30" xfId="38" applyNumberFormat="1" applyFont="1" applyFill="1" applyBorder="1" applyAlignment="1">
      <alignment horizontal="center" wrapText="1"/>
    </xf>
    <xf numFmtId="165" fontId="28" fillId="0" borderId="0" xfId="0" applyNumberFormat="1" applyFont="1"/>
    <xf numFmtId="1" fontId="28" fillId="0" borderId="0" xfId="0" applyNumberFormat="1" applyFont="1" applyFill="1"/>
    <xf numFmtId="0" fontId="28" fillId="0" borderId="14" xfId="38" applyFont="1" applyFill="1" applyBorder="1"/>
    <xf numFmtId="0" fontId="28" fillId="0" borderId="15" xfId="38" applyFont="1" applyFill="1" applyBorder="1"/>
    <xf numFmtId="3" fontId="28" fillId="0" borderId="14" xfId="38" applyNumberFormat="1" applyFont="1" applyFill="1" applyBorder="1" applyAlignment="1">
      <alignment horizontal="center"/>
    </xf>
    <xf numFmtId="3" fontId="28" fillId="0" borderId="16" xfId="38" applyNumberFormat="1" applyFont="1" applyFill="1" applyBorder="1" applyAlignment="1">
      <alignment horizontal="center"/>
    </xf>
    <xf numFmtId="3" fontId="28" fillId="0" borderId="15" xfId="38" applyNumberFormat="1" applyFont="1" applyFill="1" applyBorder="1" applyAlignment="1">
      <alignment horizontal="center"/>
    </xf>
    <xf numFmtId="0" fontId="28" fillId="0" borderId="0" xfId="38" applyFont="1" applyBorder="1"/>
    <xf numFmtId="0" fontId="29" fillId="0" borderId="0" xfId="38" applyFont="1" applyBorder="1"/>
    <xf numFmtId="10" fontId="28" fillId="0" borderId="0" xfId="51" applyNumberFormat="1" applyFont="1"/>
    <xf numFmtId="9" fontId="28" fillId="0" borderId="0" xfId="51" applyFont="1" applyFill="1" applyBorder="1" applyAlignment="1">
      <alignment horizontal="center"/>
    </xf>
    <xf numFmtId="17" fontId="32" fillId="0" borderId="31" xfId="38" applyNumberFormat="1" applyFont="1" applyFill="1" applyBorder="1" applyAlignment="1">
      <alignment horizontal="center" wrapText="1"/>
    </xf>
    <xf numFmtId="3" fontId="51" fillId="0" borderId="0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8" fillId="25" borderId="29" xfId="38" applyFont="1" applyFill="1" applyBorder="1"/>
    <xf numFmtId="0" fontId="28" fillId="25" borderId="31" xfId="38" applyFont="1" applyFill="1" applyBorder="1"/>
    <xf numFmtId="0" fontId="32" fillId="0" borderId="41" xfId="38" applyFont="1" applyFill="1" applyBorder="1" applyAlignment="1">
      <alignment horizontal="center"/>
    </xf>
    <xf numFmtId="0" fontId="32" fillId="0" borderId="42" xfId="38" applyFont="1" applyFill="1" applyBorder="1" applyAlignment="1">
      <alignment horizontal="center"/>
    </xf>
    <xf numFmtId="0" fontId="32" fillId="0" borderId="43" xfId="38" applyFont="1" applyFill="1" applyBorder="1" applyAlignment="1">
      <alignment horizontal="center"/>
    </xf>
    <xf numFmtId="3" fontId="28" fillId="25" borderId="11" xfId="38" applyNumberFormat="1" applyFont="1" applyFill="1" applyBorder="1" applyAlignment="1">
      <alignment horizontal="center"/>
    </xf>
    <xf numFmtId="3" fontId="28" fillId="25" borderId="13" xfId="38" applyNumberFormat="1" applyFont="1" applyFill="1" applyBorder="1" applyAlignment="1">
      <alignment horizontal="center"/>
    </xf>
    <xf numFmtId="3" fontId="28" fillId="25" borderId="44" xfId="38" applyNumberFormat="1" applyFont="1" applyFill="1" applyBorder="1" applyAlignment="1">
      <alignment horizontal="center"/>
    </xf>
    <xf numFmtId="3" fontId="28" fillId="0" borderId="45" xfId="38" applyNumberFormat="1" applyFont="1" applyFill="1" applyBorder="1" applyAlignment="1">
      <alignment horizontal="center"/>
    </xf>
    <xf numFmtId="3" fontId="28" fillId="25" borderId="45" xfId="38" applyNumberFormat="1" applyFont="1" applyFill="1" applyBorder="1" applyAlignment="1">
      <alignment horizontal="center"/>
    </xf>
    <xf numFmtId="3" fontId="28" fillId="0" borderId="46" xfId="38" applyNumberFormat="1" applyFont="1" applyFill="1" applyBorder="1" applyAlignment="1">
      <alignment horizontal="center"/>
    </xf>
    <xf numFmtId="165" fontId="0" fillId="0" borderId="0" xfId="0" applyNumberFormat="1"/>
    <xf numFmtId="3" fontId="28" fillId="0" borderId="12" xfId="38" applyNumberFormat="1" applyFont="1" applyFill="1" applyBorder="1" applyAlignment="1">
      <alignment horizontal="center"/>
    </xf>
    <xf numFmtId="167" fontId="55" fillId="57" borderId="50" xfId="272" applyNumberFormat="1" applyFont="1" applyFill="1" applyBorder="1" applyAlignment="1">
      <alignment horizontal="center" vertical="center" wrapText="1" readingOrder="1"/>
    </xf>
    <xf numFmtId="3" fontId="28" fillId="25" borderId="29" xfId="38" applyNumberFormat="1" applyFont="1" applyFill="1" applyBorder="1" applyAlignment="1">
      <alignment horizontal="center"/>
    </xf>
    <xf numFmtId="3" fontId="28" fillId="25" borderId="30" xfId="38" applyNumberFormat="1" applyFont="1" applyFill="1" applyBorder="1" applyAlignment="1">
      <alignment horizontal="center"/>
    </xf>
    <xf numFmtId="3" fontId="28" fillId="25" borderId="31" xfId="38" applyNumberFormat="1" applyFont="1" applyFill="1" applyBorder="1" applyAlignment="1">
      <alignment horizontal="center"/>
    </xf>
    <xf numFmtId="3" fontId="28" fillId="25" borderId="51" xfId="38" applyNumberFormat="1" applyFont="1" applyFill="1" applyBorder="1" applyAlignment="1">
      <alignment horizontal="center"/>
    </xf>
    <xf numFmtId="3" fontId="28" fillId="0" borderId="52" xfId="38" applyNumberFormat="1" applyFont="1" applyFill="1" applyBorder="1" applyAlignment="1">
      <alignment horizontal="center"/>
    </xf>
    <xf numFmtId="3" fontId="28" fillId="25" borderId="52" xfId="38" applyNumberFormat="1" applyFont="1" applyFill="1" applyBorder="1" applyAlignment="1">
      <alignment horizontal="center"/>
    </xf>
    <xf numFmtId="3" fontId="28" fillId="0" borderId="53" xfId="38" applyNumberFormat="1" applyFont="1" applyFill="1" applyBorder="1" applyAlignment="1">
      <alignment horizontal="center"/>
    </xf>
    <xf numFmtId="3" fontId="28" fillId="25" borderId="12" xfId="38" applyNumberFormat="1" applyFont="1" applyFill="1" applyBorder="1" applyAlignment="1">
      <alignment horizontal="center"/>
    </xf>
    <xf numFmtId="0" fontId="28" fillId="25" borderId="12" xfId="38" applyFont="1" applyFill="1" applyBorder="1"/>
    <xf numFmtId="0" fontId="28" fillId="25" borderId="13" xfId="38" applyFont="1" applyFill="1" applyBorder="1"/>
    <xf numFmtId="0" fontId="28" fillId="25" borderId="54" xfId="38" applyFont="1" applyFill="1" applyBorder="1"/>
    <xf numFmtId="0" fontId="28" fillId="0" borderId="55" xfId="38" applyFont="1" applyFill="1" applyBorder="1"/>
    <xf numFmtId="0" fontId="28" fillId="25" borderId="55" xfId="38" applyFont="1" applyFill="1" applyBorder="1"/>
    <xf numFmtId="0" fontId="28" fillId="0" borderId="56" xfId="38" applyFont="1" applyFill="1" applyBorder="1"/>
    <xf numFmtId="0" fontId="28" fillId="25" borderId="30" xfId="38" applyFont="1" applyFill="1" applyBorder="1"/>
    <xf numFmtId="0" fontId="28" fillId="0" borderId="11" xfId="38" applyFont="1" applyFill="1" applyBorder="1"/>
    <xf numFmtId="0" fontId="28" fillId="25" borderId="11" xfId="38" applyFont="1" applyFill="1" applyBorder="1"/>
    <xf numFmtId="0" fontId="28" fillId="0" borderId="16" xfId="38" applyFont="1" applyFill="1" applyBorder="1"/>
    <xf numFmtId="3" fontId="57" fillId="25" borderId="11" xfId="38" applyNumberFormat="1" applyFont="1" applyFill="1" applyBorder="1" applyAlignment="1">
      <alignment horizontal="center"/>
    </xf>
    <xf numFmtId="3" fontId="57" fillId="0" borderId="11" xfId="38" applyNumberFormat="1" applyFont="1" applyFill="1" applyBorder="1" applyAlignment="1">
      <alignment horizontal="center"/>
    </xf>
    <xf numFmtId="168" fontId="57" fillId="0" borderId="42" xfId="335" applyNumberFormat="1" applyFont="1" applyBorder="1" applyAlignment="1">
      <alignment horizontal="center"/>
    </xf>
    <xf numFmtId="168" fontId="57" fillId="0" borderId="11" xfId="335" applyNumberFormat="1" applyFont="1" applyBorder="1" applyAlignment="1">
      <alignment horizontal="center"/>
    </xf>
    <xf numFmtId="168" fontId="57" fillId="0" borderId="16" xfId="335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/>
    <xf numFmtId="0" fontId="5" fillId="0" borderId="11" xfId="121" applyFont="1" applyBorder="1" applyAlignment="1">
      <alignment horizontal="center" vertical="center"/>
    </xf>
    <xf numFmtId="2" fontId="28" fillId="0" borderId="0" xfId="51" applyNumberFormat="1" applyFont="1" applyFill="1" applyBorder="1" applyAlignment="1">
      <alignment horizontal="center"/>
    </xf>
    <xf numFmtId="2" fontId="0" fillId="0" borderId="0" xfId="0" applyNumberFormat="1"/>
    <xf numFmtId="2" fontId="55" fillId="57" borderId="50" xfId="272" applyNumberFormat="1" applyFont="1" applyFill="1" applyBorder="1" applyAlignment="1">
      <alignment horizontal="center" vertical="center" wrapText="1" readingOrder="1"/>
    </xf>
    <xf numFmtId="2" fontId="28" fillId="0" borderId="0" xfId="0" applyNumberFormat="1" applyFont="1"/>
    <xf numFmtId="4" fontId="0" fillId="0" borderId="0" xfId="0" applyNumberFormat="1"/>
    <xf numFmtId="10" fontId="28" fillId="0" borderId="0" xfId="51" applyNumberFormat="1" applyFont="1" applyFill="1"/>
    <xf numFmtId="3" fontId="28" fillId="25" borderId="57" xfId="38" applyNumberFormat="1" applyFont="1" applyFill="1" applyBorder="1" applyAlignment="1">
      <alignment horizontal="center"/>
    </xf>
    <xf numFmtId="3" fontId="57" fillId="25" borderId="52" xfId="38" applyNumberFormat="1" applyFont="1" applyFill="1" applyBorder="1" applyAlignment="1">
      <alignment horizontal="center"/>
    </xf>
    <xf numFmtId="3" fontId="57" fillId="0" borderId="52" xfId="38" applyNumberFormat="1" applyFont="1" applyFill="1" applyBorder="1" applyAlignment="1">
      <alignment horizontal="center"/>
    </xf>
    <xf numFmtId="168" fontId="57" fillId="0" borderId="58" xfId="335" applyNumberFormat="1" applyFont="1" applyBorder="1" applyAlignment="1">
      <alignment horizontal="center"/>
    </xf>
    <xf numFmtId="168" fontId="57" fillId="0" borderId="53" xfId="335" applyNumberFormat="1" applyFont="1" applyBorder="1" applyAlignment="1">
      <alignment horizontal="center"/>
    </xf>
    <xf numFmtId="0" fontId="32" fillId="0" borderId="17" xfId="38" applyFont="1" applyFill="1" applyBorder="1" applyAlignment="1">
      <alignment horizontal="center"/>
    </xf>
    <xf numFmtId="0" fontId="32" fillId="0" borderId="18" xfId="38" applyFont="1" applyFill="1" applyBorder="1" applyAlignment="1">
      <alignment horizontal="center"/>
    </xf>
    <xf numFmtId="0" fontId="32" fillId="0" borderId="19" xfId="38" applyFont="1" applyFill="1" applyBorder="1" applyAlignment="1">
      <alignment horizontal="center"/>
    </xf>
    <xf numFmtId="0" fontId="32" fillId="0" borderId="20" xfId="38" applyFont="1" applyFill="1" applyBorder="1" applyAlignment="1">
      <alignment horizontal="center"/>
    </xf>
    <xf numFmtId="0" fontId="32" fillId="0" borderId="21" xfId="38" applyFont="1" applyFill="1" applyBorder="1" applyAlignment="1">
      <alignment horizontal="center"/>
    </xf>
    <xf numFmtId="0" fontId="32" fillId="0" borderId="22" xfId="38" applyFont="1" applyFill="1" applyBorder="1" applyAlignment="1">
      <alignment horizontal="center"/>
    </xf>
    <xf numFmtId="0" fontId="32" fillId="0" borderId="23" xfId="38" applyFont="1" applyFill="1" applyBorder="1" applyAlignment="1">
      <alignment horizontal="center"/>
    </xf>
    <xf numFmtId="0" fontId="32" fillId="0" borderId="24" xfId="38" applyFont="1" applyFill="1" applyBorder="1" applyAlignment="1">
      <alignment horizontal="center"/>
    </xf>
    <xf numFmtId="0" fontId="32" fillId="0" borderId="25" xfId="38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7" xfId="38" applyFont="1" applyFill="1" applyBorder="1" applyAlignment="1">
      <alignment horizontal="center"/>
    </xf>
    <xf numFmtId="0" fontId="32" fillId="0" borderId="48" xfId="38" applyFont="1" applyFill="1" applyBorder="1" applyAlignment="1">
      <alignment horizontal="center"/>
    </xf>
    <xf numFmtId="0" fontId="32" fillId="0" borderId="49" xfId="38" applyFont="1" applyFill="1" applyBorder="1" applyAlignment="1">
      <alignment horizontal="center"/>
    </xf>
  </cellXfs>
  <cellStyles count="336">
    <cellStyle name="20% - Accent1" xfId="1" builtinId="30" customBuiltin="1"/>
    <cellStyle name="20% - Accent1 2" xfId="76"/>
    <cellStyle name="20% - Accent1 2 2" xfId="147"/>
    <cellStyle name="20% - Accent1 2 3" xfId="174"/>
    <cellStyle name="20% - Accent1 2 3 2" xfId="240"/>
    <cellStyle name="20% - Accent1 2 3 3" xfId="304"/>
    <cellStyle name="20% - Accent1 2 4" xfId="213"/>
    <cellStyle name="20% - Accent1 2 5" xfId="277"/>
    <cellStyle name="20% - Accent2" xfId="2" builtinId="34" customBuiltin="1"/>
    <cellStyle name="20% - Accent2 2" xfId="80"/>
    <cellStyle name="20% - Accent2 2 2" xfId="146"/>
    <cellStyle name="20% - Accent2 2 3" xfId="175"/>
    <cellStyle name="20% - Accent2 2 3 2" xfId="241"/>
    <cellStyle name="20% - Accent2 2 3 3" xfId="305"/>
    <cellStyle name="20% - Accent2 2 4" xfId="215"/>
    <cellStyle name="20% - Accent2 2 5" xfId="279"/>
    <cellStyle name="20% - Accent3" xfId="3" builtinId="38" customBuiltin="1"/>
    <cellStyle name="20% - Accent3 2" xfId="84"/>
    <cellStyle name="20% - Accent3 2 2" xfId="145"/>
    <cellStyle name="20% - Accent3 2 3" xfId="176"/>
    <cellStyle name="20% - Accent3 2 3 2" xfId="242"/>
    <cellStyle name="20% - Accent3 2 3 3" xfId="306"/>
    <cellStyle name="20% - Accent3 2 4" xfId="217"/>
    <cellStyle name="20% - Accent3 2 5" xfId="281"/>
    <cellStyle name="20% - Accent4" xfId="4" builtinId="42" customBuiltin="1"/>
    <cellStyle name="20% - Accent4 2" xfId="88"/>
    <cellStyle name="20% - Accent4 2 2" xfId="144"/>
    <cellStyle name="20% - Accent4 2 3" xfId="177"/>
    <cellStyle name="20% - Accent4 2 3 2" xfId="243"/>
    <cellStyle name="20% - Accent4 2 3 3" xfId="307"/>
    <cellStyle name="20% - Accent4 2 4" xfId="219"/>
    <cellStyle name="20% - Accent4 2 5" xfId="283"/>
    <cellStyle name="20% - Accent5" xfId="5" builtinId="46" customBuiltin="1"/>
    <cellStyle name="20% - Accent5 2" xfId="92"/>
    <cellStyle name="20% - Accent5 2 2" xfId="143"/>
    <cellStyle name="20% - Accent5 2 3" xfId="178"/>
    <cellStyle name="20% - Accent5 2 3 2" xfId="244"/>
    <cellStyle name="20% - Accent5 2 3 3" xfId="308"/>
    <cellStyle name="20% - Accent5 2 4" xfId="221"/>
    <cellStyle name="20% - Accent5 2 5" xfId="285"/>
    <cellStyle name="20% - Accent6" xfId="6" builtinId="50" customBuiltin="1"/>
    <cellStyle name="20% - Accent6 2" xfId="96"/>
    <cellStyle name="20% - Accent6 2 2" xfId="142"/>
    <cellStyle name="20% - Accent6 2 3" xfId="179"/>
    <cellStyle name="20% - Accent6 2 3 2" xfId="245"/>
    <cellStyle name="20% - Accent6 2 3 3" xfId="309"/>
    <cellStyle name="20% - Accent6 2 4" xfId="223"/>
    <cellStyle name="20% - Accent6 2 5" xfId="287"/>
    <cellStyle name="40% - Accent1" xfId="7" builtinId="31" customBuiltin="1"/>
    <cellStyle name="40% - Accent1 2" xfId="77"/>
    <cellStyle name="40% - Accent1 2 2" xfId="141"/>
    <cellStyle name="40% - Accent1 2 3" xfId="180"/>
    <cellStyle name="40% - Accent1 2 3 2" xfId="246"/>
    <cellStyle name="40% - Accent1 2 3 3" xfId="310"/>
    <cellStyle name="40% - Accent1 2 4" xfId="214"/>
    <cellStyle name="40% - Accent1 2 5" xfId="278"/>
    <cellStyle name="40% - Accent2" xfId="8" builtinId="35" customBuiltin="1"/>
    <cellStyle name="40% - Accent2 2" xfId="81"/>
    <cellStyle name="40% - Accent2 2 2" xfId="140"/>
    <cellStyle name="40% - Accent2 2 3" xfId="181"/>
    <cellStyle name="40% - Accent2 2 3 2" xfId="247"/>
    <cellStyle name="40% - Accent2 2 3 3" xfId="311"/>
    <cellStyle name="40% - Accent2 2 4" xfId="216"/>
    <cellStyle name="40% - Accent2 2 5" xfId="280"/>
    <cellStyle name="40% - Accent3" xfId="9" builtinId="39" customBuiltin="1"/>
    <cellStyle name="40% - Accent3 2" xfId="85"/>
    <cellStyle name="40% - Accent3 2 2" xfId="139"/>
    <cellStyle name="40% - Accent3 2 3" xfId="182"/>
    <cellStyle name="40% - Accent3 2 3 2" xfId="248"/>
    <cellStyle name="40% - Accent3 2 3 3" xfId="312"/>
    <cellStyle name="40% - Accent3 2 4" xfId="218"/>
    <cellStyle name="40% - Accent3 2 5" xfId="282"/>
    <cellStyle name="40% - Accent4" xfId="10" builtinId="43" customBuiltin="1"/>
    <cellStyle name="40% - Accent4 2" xfId="89"/>
    <cellStyle name="40% - Accent4 2 2" xfId="138"/>
    <cellStyle name="40% - Accent4 2 3" xfId="183"/>
    <cellStyle name="40% - Accent4 2 3 2" xfId="249"/>
    <cellStyle name="40% - Accent4 2 3 3" xfId="313"/>
    <cellStyle name="40% - Accent4 2 4" xfId="220"/>
    <cellStyle name="40% - Accent4 2 5" xfId="284"/>
    <cellStyle name="40% - Accent5" xfId="11" builtinId="47" customBuiltin="1"/>
    <cellStyle name="40% - Accent5 2" xfId="93"/>
    <cellStyle name="40% - Accent5 2 2" xfId="137"/>
    <cellStyle name="40% - Accent5 2 3" xfId="184"/>
    <cellStyle name="40% - Accent5 2 3 2" xfId="250"/>
    <cellStyle name="40% - Accent5 2 3 3" xfId="314"/>
    <cellStyle name="40% - Accent5 2 4" xfId="222"/>
    <cellStyle name="40% - Accent5 2 5" xfId="286"/>
    <cellStyle name="40% - Accent6" xfId="12" builtinId="51" customBuiltin="1"/>
    <cellStyle name="40% - Accent6 2" xfId="97"/>
    <cellStyle name="40% - Accent6 2 2" xfId="136"/>
    <cellStyle name="40% - Accent6 2 3" xfId="185"/>
    <cellStyle name="40% - Accent6 2 3 2" xfId="251"/>
    <cellStyle name="40% - Accent6 2 3 3" xfId="315"/>
    <cellStyle name="40% - Accent6 2 4" xfId="224"/>
    <cellStyle name="40% - Accent6 2 5" xfId="288"/>
    <cellStyle name="60% - Accent1" xfId="13" builtinId="32" customBuiltin="1"/>
    <cellStyle name="60% - Accent1 2" xfId="78"/>
    <cellStyle name="60% - Accent1 2 2" xfId="135"/>
    <cellStyle name="60% - Accent2" xfId="14" builtinId="36" customBuiltin="1"/>
    <cellStyle name="60% - Accent2 2" xfId="82"/>
    <cellStyle name="60% - Accent2 2 2" xfId="134"/>
    <cellStyle name="60% - Accent3" xfId="15" builtinId="40" customBuiltin="1"/>
    <cellStyle name="60% - Accent3 2" xfId="86"/>
    <cellStyle name="60% - Accent3 2 2" xfId="133"/>
    <cellStyle name="60% - Accent4" xfId="16" builtinId="44" customBuiltin="1"/>
    <cellStyle name="60% - Accent4 2" xfId="90"/>
    <cellStyle name="60% - Accent4 2 2" xfId="132"/>
    <cellStyle name="60% - Accent5" xfId="17" builtinId="48" customBuiltin="1"/>
    <cellStyle name="60% - Accent5 2" xfId="94"/>
    <cellStyle name="60% - Accent5 2 2" xfId="131"/>
    <cellStyle name="60% - Accent6" xfId="18" builtinId="52" customBuiltin="1"/>
    <cellStyle name="60% - Accent6 2" xfId="98"/>
    <cellStyle name="60% - Accent6 2 2" xfId="127"/>
    <cellStyle name="Accent1" xfId="19" builtinId="29" customBuiltin="1"/>
    <cellStyle name="Accent1 2" xfId="75"/>
    <cellStyle name="Accent1 2 2" xfId="130"/>
    <cellStyle name="Accent2" xfId="20" builtinId="33" customBuiltin="1"/>
    <cellStyle name="Accent2 2" xfId="79"/>
    <cellStyle name="Accent2 2 2" xfId="129"/>
    <cellStyle name="Accent3" xfId="21" builtinId="37" customBuiltin="1"/>
    <cellStyle name="Accent3 2" xfId="83"/>
    <cellStyle name="Accent3 2 2" xfId="128"/>
    <cellStyle name="Accent4" xfId="22" builtinId="41" customBuiltin="1"/>
    <cellStyle name="Accent4 2" xfId="87"/>
    <cellStyle name="Accent4 2 2" xfId="149"/>
    <cellStyle name="Accent5" xfId="23" builtinId="45" customBuiltin="1"/>
    <cellStyle name="Accent5 2" xfId="91"/>
    <cellStyle name="Accent5 2 2" xfId="150"/>
    <cellStyle name="Accent6" xfId="24" builtinId="49" customBuiltin="1"/>
    <cellStyle name="Accent6 2" xfId="95"/>
    <cellStyle name="Accent6 2 2" xfId="151"/>
    <cellStyle name="Bad" xfId="25" builtinId="27" customBuiltin="1"/>
    <cellStyle name="Bad 2" xfId="64"/>
    <cellStyle name="Bad 2 2" xfId="152"/>
    <cellStyle name="Calculation" xfId="26" builtinId="22" customBuiltin="1"/>
    <cellStyle name="Calculation 2" xfId="68"/>
    <cellStyle name="Calculation 2 2" xfId="153"/>
    <cellStyle name="Check Cell" xfId="27" builtinId="23" customBuiltin="1"/>
    <cellStyle name="Check Cell 2" xfId="70"/>
    <cellStyle name="Check Cell 2 2" xfId="154"/>
    <cellStyle name="Comma" xfId="335" builtinId="3"/>
    <cellStyle name="Comma 10 4" xfId="106"/>
    <cellStyle name="Comma 2" xfId="102"/>
    <cellStyle name="Comma 3" xfId="109"/>
    <cellStyle name="Comma 3 2" xfId="169"/>
    <cellStyle name="Comma 3 3" xfId="186"/>
    <cellStyle name="Comma 4" xfId="103"/>
    <cellStyle name="Currency 2" xfId="56"/>
    <cellStyle name="Currency 2 2" xfId="187"/>
    <cellStyle name="Currency 3" xfId="100"/>
    <cellStyle name="Currency 4" xfId="104"/>
    <cellStyle name="Explanatory Text" xfId="28" builtinId="53" customBuiltin="1"/>
    <cellStyle name="Explanatory Text 2" xfId="73"/>
    <cellStyle name="Explanatory Text 2 2" xfId="155"/>
    <cellStyle name="Good" xfId="29" builtinId="26" customBuiltin="1"/>
    <cellStyle name="Good 2" xfId="63"/>
    <cellStyle name="Good 2 2" xfId="156"/>
    <cellStyle name="Heading 1" xfId="30" builtinId="16" customBuiltin="1"/>
    <cellStyle name="Heading 1 2" xfId="59"/>
    <cellStyle name="Heading 1 2 2" xfId="157"/>
    <cellStyle name="Heading 2" xfId="31" builtinId="17" customBuiltin="1"/>
    <cellStyle name="Heading 2 2" xfId="60"/>
    <cellStyle name="Heading 2 2 2" xfId="158"/>
    <cellStyle name="Heading 3" xfId="32" builtinId="18" customBuiltin="1"/>
    <cellStyle name="Heading 3 2" xfId="61"/>
    <cellStyle name="Heading 3 2 2" xfId="159"/>
    <cellStyle name="Heading 4" xfId="33" builtinId="19" customBuiltin="1"/>
    <cellStyle name="Heading 4 2" xfId="62"/>
    <cellStyle name="Heading 4 2 2" xfId="160"/>
    <cellStyle name="Hyperlink 2" xfId="110"/>
    <cellStyle name="Input" xfId="34" builtinId="20" customBuiltin="1"/>
    <cellStyle name="Input 2" xfId="66"/>
    <cellStyle name="Input 2 2" xfId="161"/>
    <cellStyle name="Linked Cell" xfId="35" builtinId="24" customBuiltin="1"/>
    <cellStyle name="Linked Cell 2" xfId="69"/>
    <cellStyle name="Linked Cell 2 2" xfId="162"/>
    <cellStyle name="Neutral" xfId="36" builtinId="28" customBuiltin="1"/>
    <cellStyle name="Neutral 2" xfId="65"/>
    <cellStyle name="Neutral 2 2" xfId="163"/>
    <cellStyle name="Normal" xfId="0" builtinId="0"/>
    <cellStyle name="Normal 10" xfId="111"/>
    <cellStyle name="Normal 10 2" xfId="188"/>
    <cellStyle name="Normal 10 2 2" xfId="252"/>
    <cellStyle name="Normal 10 2 3" xfId="316"/>
    <cellStyle name="Normal 10 3" xfId="226"/>
    <cellStyle name="Normal 10 4" xfId="290"/>
    <cellStyle name="Normal 11" xfId="112"/>
    <cellStyle name="Normal 11 2" xfId="189"/>
    <cellStyle name="Normal 11 2 2" xfId="253"/>
    <cellStyle name="Normal 11 2 3" xfId="317"/>
    <cellStyle name="Normal 11 3" xfId="227"/>
    <cellStyle name="Normal 11 4" xfId="291"/>
    <cellStyle name="Normal 12" xfId="113"/>
    <cellStyle name="Normal 12 2" xfId="190"/>
    <cellStyle name="Normal 12 2 2" xfId="254"/>
    <cellStyle name="Normal 12 2 3" xfId="318"/>
    <cellStyle name="Normal 12 3" xfId="228"/>
    <cellStyle name="Normal 12 4" xfId="292"/>
    <cellStyle name="Normal 13" xfId="114"/>
    <cellStyle name="Normal 13 2" xfId="191"/>
    <cellStyle name="Normal 13 2 2" xfId="255"/>
    <cellStyle name="Normal 13 2 3" xfId="319"/>
    <cellStyle name="Normal 13 3" xfId="229"/>
    <cellStyle name="Normal 13 4" xfId="293"/>
    <cellStyle name="Normal 14" xfId="108"/>
    <cellStyle name="Normal 15" xfId="148"/>
    <cellStyle name="Normal 15 2" xfId="192"/>
    <cellStyle name="Normal 16" xfId="107"/>
    <cellStyle name="Normal 16 2" xfId="193"/>
    <cellStyle name="Normal 16 2 2" xfId="256"/>
    <cellStyle name="Normal 16 2 3" xfId="320"/>
    <cellStyle name="Normal 16 3" xfId="225"/>
    <cellStyle name="Normal 16 4" xfId="289"/>
    <cellStyle name="Normal 17" xfId="172"/>
    <cellStyle name="Normal 17 2" xfId="194"/>
    <cellStyle name="Normal 17 2 2" xfId="257"/>
    <cellStyle name="Normal 17 2 3" xfId="321"/>
    <cellStyle name="Normal 17 3" xfId="238"/>
    <cellStyle name="Normal 17 4" xfId="302"/>
    <cellStyle name="Normal 18" xfId="271"/>
    <cellStyle name="Normal 19" xfId="272"/>
    <cellStyle name="Normal 2" xfId="37"/>
    <cellStyle name="Normal 2 2" xfId="105"/>
    <cellStyle name="Normal 2 2 2" xfId="115"/>
    <cellStyle name="Normal 2 2 2 2" xfId="195"/>
    <cellStyle name="Normal 2 2 2 2 2" xfId="258"/>
    <cellStyle name="Normal 2 2 2 2 3" xfId="322"/>
    <cellStyle name="Normal 2 2 2 3" xfId="230"/>
    <cellStyle name="Normal 2 2 2 4" xfId="294"/>
    <cellStyle name="Normal 2 3" xfId="52"/>
    <cellStyle name="Normal 3" xfId="54"/>
    <cellStyle name="Normal 3 2" xfId="117"/>
    <cellStyle name="Normal 3 3" xfId="118"/>
    <cellStyle name="Normal 3 4" xfId="116"/>
    <cellStyle name="Normal 3 5" xfId="196"/>
    <cellStyle name="Normal 3 5 2" xfId="259"/>
    <cellStyle name="Normal 3 5 3" xfId="323"/>
    <cellStyle name="Normal 3 6" xfId="209"/>
    <cellStyle name="Normal 3 7" xfId="273"/>
    <cellStyle name="Normal 4" xfId="55"/>
    <cellStyle name="Normal 4 2" xfId="119"/>
    <cellStyle name="Normal 4 2 2" xfId="198"/>
    <cellStyle name="Normal 4 2 2 2" xfId="261"/>
    <cellStyle name="Normal 4 2 2 3" xfId="325"/>
    <cellStyle name="Normal 4 2 3" xfId="231"/>
    <cellStyle name="Normal 4 2 4" xfId="295"/>
    <cellStyle name="Normal 4 3" xfId="197"/>
    <cellStyle name="Normal 4 3 2" xfId="260"/>
    <cellStyle name="Normal 4 3 3" xfId="324"/>
    <cellStyle name="Normal 4 4" xfId="210"/>
    <cellStyle name="Normal 4 5" xfId="274"/>
    <cellStyle name="Normal 5" xfId="57"/>
    <cellStyle name="Normal 5 2" xfId="120"/>
    <cellStyle name="Normal 5 2 2" xfId="200"/>
    <cellStyle name="Normal 5 2 2 2" xfId="263"/>
    <cellStyle name="Normal 5 2 2 3" xfId="327"/>
    <cellStyle name="Normal 5 2 3" xfId="232"/>
    <cellStyle name="Normal 5 2 4" xfId="296"/>
    <cellStyle name="Normal 5 3" xfId="199"/>
    <cellStyle name="Normal 5 3 2" xfId="262"/>
    <cellStyle name="Normal 5 3 3" xfId="326"/>
    <cellStyle name="Normal 5 4" xfId="211"/>
    <cellStyle name="Normal 5 5" xfId="275"/>
    <cellStyle name="Normal 6" xfId="99"/>
    <cellStyle name="Normal 6 2" xfId="121"/>
    <cellStyle name="Normal 6 2 2" xfId="201"/>
    <cellStyle name="Normal 6 2 2 2" xfId="264"/>
    <cellStyle name="Normal 6 2 2 3" xfId="328"/>
    <cellStyle name="Normal 6 2 3" xfId="233"/>
    <cellStyle name="Normal 6 2 4" xfId="297"/>
    <cellStyle name="Normal 7" xfId="122"/>
    <cellStyle name="Normal 7 2" xfId="202"/>
    <cellStyle name="Normal 7 2 2" xfId="265"/>
    <cellStyle name="Normal 7 2 3" xfId="329"/>
    <cellStyle name="Normal 7 3" xfId="234"/>
    <cellStyle name="Normal 7 4" xfId="298"/>
    <cellStyle name="Normal 8" xfId="123"/>
    <cellStyle name="Normal 8 2" xfId="203"/>
    <cellStyle name="Normal 8 2 2" xfId="266"/>
    <cellStyle name="Normal 8 2 3" xfId="330"/>
    <cellStyle name="Normal 8 3" xfId="235"/>
    <cellStyle name="Normal 8 4" xfId="299"/>
    <cellStyle name="Normal 9" xfId="124"/>
    <cellStyle name="Normal 9 2" xfId="204"/>
    <cellStyle name="Normal 9 2 2" xfId="267"/>
    <cellStyle name="Normal 9 2 3" xfId="331"/>
    <cellStyle name="Normal 9 3" xfId="236"/>
    <cellStyle name="Normal 9 4" xfId="300"/>
    <cellStyle name="Normal_CHWM_Updated02222011" xfId="38"/>
    <cellStyle name="Note" xfId="39" builtinId="10" customBuiltin="1"/>
    <cellStyle name="Note 2" xfId="72"/>
    <cellStyle name="Note 2 2" xfId="164"/>
    <cellStyle name="Note 2 3" xfId="205"/>
    <cellStyle name="Note 2 3 2" xfId="268"/>
    <cellStyle name="Note 2 3 3" xfId="332"/>
    <cellStyle name="Note 2 4" xfId="212"/>
    <cellStyle name="Note 2 5" xfId="276"/>
    <cellStyle name="Output" xfId="40" builtinId="21" customBuiltin="1"/>
    <cellStyle name="Output 2" xfId="67"/>
    <cellStyle name="Output 2 2" xfId="165"/>
    <cellStyle name="Percent" xfId="51" builtinId="5"/>
    <cellStyle name="Percent 2" xfId="41"/>
    <cellStyle name="Percent 2 2" xfId="125"/>
    <cellStyle name="Percent 2 3" xfId="53"/>
    <cellStyle name="Percent 3" xfId="101"/>
    <cellStyle name="Percent 4" xfId="126"/>
    <cellStyle name="Percent 5" xfId="170"/>
    <cellStyle name="Percent 5 2" xfId="206"/>
    <cellStyle name="Percent 6" xfId="171"/>
    <cellStyle name="Percent 6 2" xfId="207"/>
    <cellStyle name="Percent 6 2 2" xfId="269"/>
    <cellStyle name="Percent 6 2 3" xfId="333"/>
    <cellStyle name="Percent 6 3" xfId="237"/>
    <cellStyle name="Percent 6 4" xfId="301"/>
    <cellStyle name="Percent 7" xfId="173"/>
    <cellStyle name="Percent 7 2" xfId="208"/>
    <cellStyle name="Percent 7 2 2" xfId="270"/>
    <cellStyle name="Percent 7 2 3" xfId="334"/>
    <cellStyle name="Percent 7 3" xfId="239"/>
    <cellStyle name="Percent 7 4" xfId="303"/>
    <cellStyle name="PSChar" xfId="42"/>
    <cellStyle name="PSDate" xfId="43"/>
    <cellStyle name="PSDec" xfId="44"/>
    <cellStyle name="PSHeading" xfId="45"/>
    <cellStyle name="PSInt" xfId="46"/>
    <cellStyle name="PSSpacer" xfId="47"/>
    <cellStyle name="Title" xfId="48" builtinId="15" customBuiltin="1"/>
    <cellStyle name="Title 2" xfId="58"/>
    <cellStyle name="Title 2 2" xfId="166"/>
    <cellStyle name="Total" xfId="49" builtinId="25" customBuiltin="1"/>
    <cellStyle name="Total 2" xfId="74"/>
    <cellStyle name="Total 2 2" xfId="167"/>
    <cellStyle name="Warning Text" xfId="50" builtinId="11" customBuiltin="1"/>
    <cellStyle name="Warning Text 2" xfId="71"/>
    <cellStyle name="Warning Text 2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orgs/power/policy-rates/pfr/TeamDocuments/$newTRM_200912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orgs/power/policy-rates/pfr/TeamDocuments/TRMbd_BP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orgs/power/policy-rates/pfr/TeamDocuments/RAMdata_WP2012ipP_2012_working_201006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zoomScaleNormal="100"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P21" sqref="P21"/>
    </sheetView>
  </sheetViews>
  <sheetFormatPr defaultColWidth="9.140625" defaultRowHeight="12.75" x14ac:dyDescent="0.2"/>
  <cols>
    <col min="1" max="1" width="9.140625" style="3"/>
    <col min="2" max="2" width="22.28515625" style="3" customWidth="1"/>
    <col min="3" max="26" width="10.7109375" style="3" customWidth="1"/>
    <col min="27" max="28" width="9.140625" style="3"/>
    <col min="29" max="30" width="9.85546875" style="3" bestFit="1" customWidth="1"/>
    <col min="31" max="31" width="9.140625" style="3"/>
    <col min="32" max="32" width="10.140625" style="3" customWidth="1"/>
    <col min="33" max="16384" width="9.140625" style="3"/>
  </cols>
  <sheetData>
    <row r="1" spans="1:38" ht="18.75" x14ac:dyDescent="0.3">
      <c r="A1" s="8" t="s">
        <v>26</v>
      </c>
      <c r="B1" s="1"/>
      <c r="C1" s="2"/>
      <c r="K1" s="6"/>
      <c r="M1" s="6"/>
      <c r="N1" s="7"/>
      <c r="O1" s="7"/>
    </row>
    <row r="2" spans="1:38" ht="15.75" x14ac:dyDescent="0.25">
      <c r="A2" s="4" t="s">
        <v>33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8" x14ac:dyDescent="0.2">
      <c r="A3" s="1"/>
      <c r="B3" s="1"/>
      <c r="C3" s="1"/>
    </row>
    <row r="4" spans="1:38" ht="13.5" thickBot="1" x14ac:dyDescent="0.25">
      <c r="A4" s="1"/>
      <c r="B4" s="1"/>
      <c r="C4" s="1"/>
    </row>
    <row r="5" spans="1:38" ht="13.5" thickBot="1" x14ac:dyDescent="0.25">
      <c r="A5" s="97" t="s">
        <v>0</v>
      </c>
      <c r="B5" s="100" t="s">
        <v>22</v>
      </c>
      <c r="C5" s="103" t="s">
        <v>31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3" t="s">
        <v>32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</row>
    <row r="6" spans="1:38" x14ac:dyDescent="0.2">
      <c r="A6" s="98"/>
      <c r="B6" s="101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38" ht="13.5" thickBot="1" x14ac:dyDescent="0.25">
      <c r="A7" s="99"/>
      <c r="B7" s="102"/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8" t="s">
        <v>1</v>
      </c>
      <c r="O7" s="16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</v>
      </c>
      <c r="Z7" s="18" t="s">
        <v>1</v>
      </c>
    </row>
    <row r="8" spans="1:38" x14ac:dyDescent="0.2">
      <c r="A8" s="46">
        <v>10024</v>
      </c>
      <c r="B8" s="74" t="s">
        <v>2</v>
      </c>
      <c r="C8" s="61">
        <f>ROUND(116820430/1000,0)</f>
        <v>116820</v>
      </c>
      <c r="D8" s="61">
        <f>ROUND(126605841/1000,0)</f>
        <v>126606</v>
      </c>
      <c r="E8" s="61">
        <f>ROUND(139072579/1000,0)</f>
        <v>139073</v>
      </c>
      <c r="F8" s="61">
        <f>ROUND(136008248/1000,0)</f>
        <v>136008</v>
      </c>
      <c r="G8" s="61">
        <f>ROUND(117240247/1000,0)</f>
        <v>117240</v>
      </c>
      <c r="H8" s="61">
        <f>ROUND(126664920/1000,0)</f>
        <v>126665</v>
      </c>
      <c r="I8" s="61">
        <f>ROUND(132920057/1000,0)</f>
        <v>132920</v>
      </c>
      <c r="J8" s="61">
        <f>ROUND(148144663/1000,0)</f>
        <v>148145</v>
      </c>
      <c r="K8" s="61">
        <f>ROUND(158670911/1000,0)</f>
        <v>158671</v>
      </c>
      <c r="L8" s="61">
        <f>ROUND(224176458/1000,0)</f>
        <v>224176</v>
      </c>
      <c r="M8" s="61">
        <f>ROUND(206810695/1000,0)</f>
        <v>206811</v>
      </c>
      <c r="N8" s="63">
        <f>ROUND(134754024/1000,0)</f>
        <v>134754</v>
      </c>
      <c r="O8" s="60">
        <v>121004.300118652</v>
      </c>
      <c r="P8" s="61">
        <v>121270.34492931033</v>
      </c>
      <c r="Q8" s="61">
        <v>149796.62688943875</v>
      </c>
      <c r="R8" s="61">
        <v>149830.92361272569</v>
      </c>
      <c r="S8" s="61">
        <v>128211.62873637663</v>
      </c>
      <c r="T8" s="61">
        <v>124614.44299090246</v>
      </c>
      <c r="U8" s="61">
        <v>123426.87016215322</v>
      </c>
      <c r="V8" s="61">
        <v>160889.99603597054</v>
      </c>
      <c r="W8" s="61">
        <v>198722.27568663273</v>
      </c>
      <c r="X8" s="61">
        <v>224881.84757471847</v>
      </c>
      <c r="Y8" s="61">
        <v>199224.97473900189</v>
      </c>
      <c r="Z8" s="62">
        <v>132162.21500617141</v>
      </c>
      <c r="AA8" s="21"/>
      <c r="AB8" s="9"/>
      <c r="AC8" s="9"/>
      <c r="AD8" s="41"/>
      <c r="AF8" s="9"/>
      <c r="AI8" s="29"/>
      <c r="AJ8" s="29"/>
      <c r="AK8" s="29"/>
      <c r="AL8" s="29"/>
    </row>
    <row r="9" spans="1:38" s="7" customFormat="1" x14ac:dyDescent="0.2">
      <c r="A9" s="13">
        <v>10103</v>
      </c>
      <c r="B9" s="75" t="s">
        <v>3</v>
      </c>
      <c r="C9" s="12">
        <v>383687.91700000002</v>
      </c>
      <c r="D9" s="12">
        <v>410845.45899999997</v>
      </c>
      <c r="E9" s="12">
        <v>465403.69699999999</v>
      </c>
      <c r="F9" s="12">
        <v>448711.56699999998</v>
      </c>
      <c r="G9" s="12">
        <v>422768.49300000002</v>
      </c>
      <c r="H9" s="12">
        <v>425065.19</v>
      </c>
      <c r="I9" s="12">
        <v>342587.36900000001</v>
      </c>
      <c r="J9" s="12">
        <v>333990.77899999998</v>
      </c>
      <c r="K9" s="12">
        <v>326937.14199999999</v>
      </c>
      <c r="L9" s="12">
        <v>365532.005</v>
      </c>
      <c r="M9" s="12">
        <v>372746.66100000002</v>
      </c>
      <c r="N9" s="64">
        <v>342453.94500000001</v>
      </c>
      <c r="O9" s="58">
        <v>379771.6</v>
      </c>
      <c r="P9" s="12">
        <v>403462.3</v>
      </c>
      <c r="Q9" s="12">
        <v>514154.8</v>
      </c>
      <c r="R9" s="12">
        <v>511001.1</v>
      </c>
      <c r="S9" s="12">
        <v>409468.2</v>
      </c>
      <c r="T9" s="12">
        <v>425332.5</v>
      </c>
      <c r="U9" s="12">
        <v>379907.4</v>
      </c>
      <c r="V9" s="12">
        <v>340855</v>
      </c>
      <c r="W9" s="12">
        <v>339735.9</v>
      </c>
      <c r="X9" s="12">
        <v>369560.9</v>
      </c>
      <c r="Y9" s="12">
        <v>381049.9</v>
      </c>
      <c r="Z9" s="15">
        <v>336738</v>
      </c>
      <c r="AA9" s="21"/>
      <c r="AB9" s="9"/>
      <c r="AC9" s="9"/>
      <c r="AD9" s="41"/>
      <c r="AE9" s="3"/>
      <c r="AF9" s="9"/>
      <c r="AG9" s="3"/>
      <c r="AH9" s="3"/>
      <c r="AI9" s="29"/>
      <c r="AJ9" s="29"/>
      <c r="AK9" s="29"/>
      <c r="AL9" s="29"/>
    </row>
    <row r="10" spans="1:38" x14ac:dyDescent="0.2">
      <c r="A10" s="68">
        <v>10105</v>
      </c>
      <c r="B10" s="76" t="s">
        <v>4</v>
      </c>
      <c r="C10" s="51">
        <v>86376.47</v>
      </c>
      <c r="D10" s="51">
        <v>84284.891000000003</v>
      </c>
      <c r="E10" s="51">
        <v>89363.607000000004</v>
      </c>
      <c r="F10" s="51">
        <v>88779.284</v>
      </c>
      <c r="G10" s="51">
        <v>85744.475999999995</v>
      </c>
      <c r="H10" s="51">
        <v>89136.789000000004</v>
      </c>
      <c r="I10" s="51">
        <v>83840.834000000003</v>
      </c>
      <c r="J10" s="51">
        <v>83871.997000000003</v>
      </c>
      <c r="K10" s="51">
        <v>76572.308999999994</v>
      </c>
      <c r="L10" s="51">
        <v>78163.903000000006</v>
      </c>
      <c r="M10" s="51">
        <v>79863.282999999996</v>
      </c>
      <c r="N10" s="65">
        <v>71311.091</v>
      </c>
      <c r="O10" s="67">
        <v>63541.422404160003</v>
      </c>
      <c r="P10" s="51">
        <v>62309.236507279995</v>
      </c>
      <c r="Q10" s="51">
        <v>67462.797610559996</v>
      </c>
      <c r="R10" s="51">
        <v>65941.391690639997</v>
      </c>
      <c r="S10" s="51">
        <v>60077.302306560006</v>
      </c>
      <c r="T10" s="51">
        <v>66162.728945629991</v>
      </c>
      <c r="U10" s="51">
        <v>60293.836475999997</v>
      </c>
      <c r="V10" s="51">
        <v>50007.560769600001</v>
      </c>
      <c r="W10" s="51">
        <v>58886.101072799996</v>
      </c>
      <c r="X10" s="51">
        <v>59810.208732000006</v>
      </c>
      <c r="Y10" s="51">
        <v>59577.799090799999</v>
      </c>
      <c r="Z10" s="52">
        <v>58719.018916799992</v>
      </c>
      <c r="AA10" s="21"/>
      <c r="AB10" s="9"/>
      <c r="AC10" s="9"/>
      <c r="AD10" s="41"/>
      <c r="AF10" s="9"/>
      <c r="AI10" s="29"/>
      <c r="AJ10" s="29"/>
      <c r="AK10" s="29"/>
      <c r="AL10" s="29"/>
    </row>
    <row r="11" spans="1:38" s="7" customFormat="1" x14ac:dyDescent="0.2">
      <c r="A11" s="13">
        <v>10123</v>
      </c>
      <c r="B11" s="75" t="s">
        <v>5</v>
      </c>
      <c r="C11" s="12">
        <v>361650.56300000002</v>
      </c>
      <c r="D11" s="12">
        <v>394675.978</v>
      </c>
      <c r="E11" s="12">
        <v>424441.83</v>
      </c>
      <c r="F11" s="12">
        <v>423302.326</v>
      </c>
      <c r="G11" s="12">
        <v>381168.17200000002</v>
      </c>
      <c r="H11" s="12">
        <v>400223.79200000002</v>
      </c>
      <c r="I11" s="12">
        <v>362563.73700000002</v>
      </c>
      <c r="J11" s="12">
        <v>319348.223</v>
      </c>
      <c r="K11" s="12">
        <v>318868.48700000002</v>
      </c>
      <c r="L11" s="12">
        <v>365146.24900000001</v>
      </c>
      <c r="M11" s="12">
        <v>355668.136</v>
      </c>
      <c r="N11" s="64">
        <v>322071.94799999997</v>
      </c>
      <c r="O11" s="58">
        <v>361778.5</v>
      </c>
      <c r="P11" s="12">
        <v>377622.2</v>
      </c>
      <c r="Q11" s="12">
        <v>417051.3</v>
      </c>
      <c r="R11" s="12">
        <v>415643.3</v>
      </c>
      <c r="S11" s="12">
        <v>364953.3</v>
      </c>
      <c r="T11" s="12">
        <v>378063.1</v>
      </c>
      <c r="U11" s="12">
        <v>359932</v>
      </c>
      <c r="V11" s="12">
        <v>356491.5</v>
      </c>
      <c r="W11" s="12">
        <v>334430.2</v>
      </c>
      <c r="X11" s="12">
        <v>352118.7</v>
      </c>
      <c r="Y11" s="12">
        <v>353833.5</v>
      </c>
      <c r="Z11" s="15">
        <v>340029.8</v>
      </c>
      <c r="AA11" s="21"/>
      <c r="AB11" s="21"/>
      <c r="AC11" s="21"/>
      <c r="AD11" s="91"/>
      <c r="AF11" s="21"/>
      <c r="AI11" s="33"/>
      <c r="AJ11" s="33"/>
      <c r="AK11" s="33"/>
      <c r="AL11" s="33"/>
    </row>
    <row r="12" spans="1:38" x14ac:dyDescent="0.2">
      <c r="A12" s="68">
        <v>10157</v>
      </c>
      <c r="B12" s="76" t="s">
        <v>6</v>
      </c>
      <c r="C12" s="51">
        <v>55303.273999999998</v>
      </c>
      <c r="D12" s="51">
        <v>59071.805</v>
      </c>
      <c r="E12" s="51">
        <v>63557.48</v>
      </c>
      <c r="F12" s="51">
        <v>62011.67</v>
      </c>
      <c r="G12" s="51">
        <v>59783.75</v>
      </c>
      <c r="H12" s="51">
        <v>59638.794000000002</v>
      </c>
      <c r="I12" s="51">
        <v>49267.500999999997</v>
      </c>
      <c r="J12" s="51">
        <v>48028.078000000001</v>
      </c>
      <c r="K12" s="51">
        <v>46812.307999999997</v>
      </c>
      <c r="L12" s="51">
        <v>51704.053999999996</v>
      </c>
      <c r="M12" s="51">
        <v>52641.468999999997</v>
      </c>
      <c r="N12" s="65">
        <v>40943.243999999999</v>
      </c>
      <c r="O12" s="67">
        <v>63614.14</v>
      </c>
      <c r="P12" s="51">
        <v>71002.05</v>
      </c>
      <c r="Q12" s="51">
        <v>80362.509999999995</v>
      </c>
      <c r="R12" s="51">
        <v>77453.55</v>
      </c>
      <c r="S12" s="51">
        <v>68997.13</v>
      </c>
      <c r="T12" s="51">
        <v>68103.42</v>
      </c>
      <c r="U12" s="51">
        <v>63138.38</v>
      </c>
      <c r="V12" s="51">
        <v>60583.75</v>
      </c>
      <c r="W12" s="51">
        <v>59224.2</v>
      </c>
      <c r="X12" s="51">
        <v>64277.91</v>
      </c>
      <c r="Y12" s="51">
        <v>64422.91</v>
      </c>
      <c r="Z12" s="52">
        <v>57063.33</v>
      </c>
      <c r="AA12" s="21"/>
      <c r="AB12" s="9"/>
      <c r="AC12" s="9"/>
      <c r="AD12" s="41"/>
      <c r="AF12" s="9"/>
      <c r="AI12" s="29"/>
      <c r="AJ12" s="29"/>
      <c r="AK12" s="29"/>
      <c r="AL12" s="29"/>
    </row>
    <row r="13" spans="1:38" s="7" customFormat="1" x14ac:dyDescent="0.2">
      <c r="A13" s="13">
        <v>10170</v>
      </c>
      <c r="B13" s="75" t="s">
        <v>7</v>
      </c>
      <c r="C13" s="12">
        <v>204847.285</v>
      </c>
      <c r="D13" s="12">
        <v>220517.296</v>
      </c>
      <c r="E13" s="12">
        <v>235559.61799999999</v>
      </c>
      <c r="F13" s="12">
        <v>230191.318</v>
      </c>
      <c r="G13" s="12">
        <v>220702.5</v>
      </c>
      <c r="H13" s="12">
        <v>218728.02499999999</v>
      </c>
      <c r="I13" s="12">
        <v>180323.70199999999</v>
      </c>
      <c r="J13" s="12">
        <v>168123.72899999999</v>
      </c>
      <c r="K13" s="12">
        <v>169327.15599999999</v>
      </c>
      <c r="L13" s="12">
        <v>186037.579</v>
      </c>
      <c r="M13" s="12">
        <v>187274.64300000001</v>
      </c>
      <c r="N13" s="64">
        <v>166336.14300000001</v>
      </c>
      <c r="O13" s="58">
        <v>188456.8</v>
      </c>
      <c r="P13" s="12">
        <v>205544</v>
      </c>
      <c r="Q13" s="12">
        <v>255886.3</v>
      </c>
      <c r="R13" s="12">
        <v>254575.7</v>
      </c>
      <c r="S13" s="12">
        <v>212009.5</v>
      </c>
      <c r="T13" s="12">
        <v>214936.3</v>
      </c>
      <c r="U13" s="12">
        <v>194376.4</v>
      </c>
      <c r="V13" s="12">
        <v>184971</v>
      </c>
      <c r="W13" s="12">
        <v>177958.39999999999</v>
      </c>
      <c r="X13" s="12">
        <v>191401.1</v>
      </c>
      <c r="Y13" s="12">
        <v>191356.7</v>
      </c>
      <c r="Z13" s="15">
        <v>176878.2</v>
      </c>
      <c r="AA13" s="21"/>
      <c r="AB13" s="9"/>
      <c r="AC13" s="9"/>
      <c r="AD13" s="41"/>
      <c r="AE13" s="3"/>
      <c r="AF13" s="9"/>
      <c r="AG13" s="3"/>
      <c r="AH13" s="3"/>
      <c r="AI13" s="29"/>
      <c r="AJ13" s="29"/>
      <c r="AK13" s="29"/>
      <c r="AL13" s="29"/>
    </row>
    <row r="14" spans="1:38" x14ac:dyDescent="0.2">
      <c r="A14" s="68">
        <v>10183</v>
      </c>
      <c r="B14" s="76" t="s">
        <v>8</v>
      </c>
      <c r="C14" s="51">
        <f>ROUND(84032085/1000,0)</f>
        <v>84032</v>
      </c>
      <c r="D14" s="51">
        <f>ROUND(81059554/1000,0)</f>
        <v>81060</v>
      </c>
      <c r="E14" s="51">
        <f>ROUND(88040161/1000,0)</f>
        <v>88040</v>
      </c>
      <c r="F14" s="51">
        <f>ROUND(87303344/1000,0)</f>
        <v>87303</v>
      </c>
      <c r="G14" s="51">
        <f>ROUND(76561519/1000,0)</f>
        <v>76562</v>
      </c>
      <c r="H14" s="51">
        <f>ROUND(76587949/1000,0)</f>
        <v>76588</v>
      </c>
      <c r="I14" s="51">
        <f>ROUND(73136029/1000,0)</f>
        <v>73136</v>
      </c>
      <c r="J14" s="51">
        <f>ROUND(79401477/1000,0)</f>
        <v>79401</v>
      </c>
      <c r="K14" s="51">
        <f>ROUND(97284542/1000,0)</f>
        <v>97285</v>
      </c>
      <c r="L14" s="51">
        <f>ROUND(119352895/1000,0)</f>
        <v>119353</v>
      </c>
      <c r="M14" s="51">
        <f>ROUND(121886668/1000,0)</f>
        <v>121887</v>
      </c>
      <c r="N14" s="65">
        <f>ROUND(96459583/1000,0)</f>
        <v>96460</v>
      </c>
      <c r="O14" s="67">
        <v>87263.443300400526</v>
      </c>
      <c r="P14" s="51">
        <v>84243.50367785932</v>
      </c>
      <c r="Q14" s="51">
        <v>97216.544147504959</v>
      </c>
      <c r="R14" s="51">
        <v>99937.810617471012</v>
      </c>
      <c r="S14" s="51">
        <v>84120.173477400007</v>
      </c>
      <c r="T14" s="51">
        <v>80561.36771897701</v>
      </c>
      <c r="U14" s="51">
        <v>79144.552681803791</v>
      </c>
      <c r="V14" s="51">
        <v>94882.065614025472</v>
      </c>
      <c r="W14" s="51">
        <v>112912.83822115876</v>
      </c>
      <c r="X14" s="51">
        <v>131094.80701812895</v>
      </c>
      <c r="Y14" s="51">
        <v>128346.27522623666</v>
      </c>
      <c r="Z14" s="52">
        <v>98548.276140050861</v>
      </c>
      <c r="AA14" s="21"/>
      <c r="AB14" s="9"/>
      <c r="AC14" s="9"/>
      <c r="AD14" s="41"/>
      <c r="AF14" s="9"/>
      <c r="AI14" s="29"/>
      <c r="AJ14" s="29"/>
      <c r="AK14" s="29"/>
      <c r="AL14" s="29"/>
    </row>
    <row r="15" spans="1:38" s="7" customFormat="1" x14ac:dyDescent="0.2">
      <c r="A15" s="13">
        <v>10191</v>
      </c>
      <c r="B15" s="75" t="s">
        <v>9</v>
      </c>
      <c r="C15" s="12">
        <v>99279.217999999993</v>
      </c>
      <c r="D15" s="12">
        <v>106304.284</v>
      </c>
      <c r="E15" s="12">
        <v>116005.836</v>
      </c>
      <c r="F15" s="12">
        <v>119035.939</v>
      </c>
      <c r="G15" s="12">
        <v>111676.709</v>
      </c>
      <c r="H15" s="12">
        <v>113898.77899999999</v>
      </c>
      <c r="I15" s="12">
        <v>91571.736999999994</v>
      </c>
      <c r="J15" s="12">
        <v>69256.774999999994</v>
      </c>
      <c r="K15" s="12">
        <v>65142.044000000002</v>
      </c>
      <c r="L15" s="12">
        <v>66207.44</v>
      </c>
      <c r="M15" s="12">
        <v>65895.184999999998</v>
      </c>
      <c r="N15" s="64">
        <v>63350.701999999997</v>
      </c>
      <c r="O15" s="58">
        <v>83905.999984800001</v>
      </c>
      <c r="P15" s="12">
        <v>96152.142888000017</v>
      </c>
      <c r="Q15" s="12">
        <v>112721.999988</v>
      </c>
      <c r="R15" s="12">
        <v>125038.05717120001</v>
      </c>
      <c r="S15" s="12">
        <v>106201.6665696</v>
      </c>
      <c r="T15" s="12">
        <v>80852.265599999999</v>
      </c>
      <c r="U15" s="12">
        <v>77418.072</v>
      </c>
      <c r="V15" s="12">
        <v>77848.44</v>
      </c>
      <c r="W15" s="12">
        <v>70753.411043999993</v>
      </c>
      <c r="X15" s="12">
        <v>72652.267851600001</v>
      </c>
      <c r="Y15" s="12">
        <v>73625.381215679998</v>
      </c>
      <c r="Z15" s="15">
        <v>77223.759191999998</v>
      </c>
      <c r="AA15" s="21"/>
      <c r="AB15" s="9"/>
      <c r="AC15" s="9"/>
      <c r="AD15" s="41"/>
      <c r="AE15" s="3"/>
      <c r="AF15" s="9"/>
      <c r="AG15" s="3"/>
      <c r="AH15" s="3"/>
      <c r="AI15" s="29"/>
      <c r="AJ15" s="29"/>
      <c r="AK15" s="29"/>
      <c r="AL15" s="29"/>
    </row>
    <row r="16" spans="1:38" s="7" customFormat="1" x14ac:dyDescent="0.2">
      <c r="A16" s="68">
        <v>10204</v>
      </c>
      <c r="B16" s="76" t="s">
        <v>10</v>
      </c>
      <c r="C16" s="51">
        <f>ROUND(52806809/1000,0)</f>
        <v>52807</v>
      </c>
      <c r="D16" s="51">
        <f>ROUND(62509632/1000,0)</f>
        <v>62510</v>
      </c>
      <c r="E16" s="51">
        <f>ROUND(74547022/1000,0)</f>
        <v>74547</v>
      </c>
      <c r="F16" s="51">
        <f>ROUND(75608402/1000,0)</f>
        <v>75608</v>
      </c>
      <c r="G16" s="51">
        <f>ROUND(73262999/1000,0)</f>
        <v>73263</v>
      </c>
      <c r="H16" s="51">
        <f>ROUND(63858467/1000,0)</f>
        <v>63858</v>
      </c>
      <c r="I16" s="51">
        <f>ROUND(53727947/1000,0)</f>
        <v>53728</v>
      </c>
      <c r="J16" s="51">
        <f>ROUND(51010560/1000,0)</f>
        <v>51011</v>
      </c>
      <c r="K16" s="51">
        <f>ROUND(50858401/1000,0)</f>
        <v>50858</v>
      </c>
      <c r="L16" s="51">
        <f>ROUND(57349275/1000,0)</f>
        <v>57349</v>
      </c>
      <c r="M16" s="51">
        <f>ROUND(59540200/1000,0)</f>
        <v>59540</v>
      </c>
      <c r="N16" s="65">
        <f>ROUND(49886793/1000,0)</f>
        <v>49887</v>
      </c>
      <c r="O16" s="67">
        <v>63540.06</v>
      </c>
      <c r="P16" s="51">
        <v>70228.09</v>
      </c>
      <c r="Q16" s="51">
        <v>88413.98</v>
      </c>
      <c r="R16" s="51">
        <v>88455.13</v>
      </c>
      <c r="S16" s="51">
        <v>77151.88</v>
      </c>
      <c r="T16" s="51">
        <v>76409.490000000005</v>
      </c>
      <c r="U16" s="51">
        <v>62981.2</v>
      </c>
      <c r="V16" s="51">
        <v>61893.29</v>
      </c>
      <c r="W16" s="51">
        <v>61573.85</v>
      </c>
      <c r="X16" s="51">
        <v>70552.56</v>
      </c>
      <c r="Y16" s="51">
        <v>70263.41</v>
      </c>
      <c r="Z16" s="52">
        <v>61750.51</v>
      </c>
      <c r="AA16" s="21"/>
      <c r="AB16" s="9"/>
      <c r="AC16" s="9"/>
      <c r="AD16" s="41"/>
      <c r="AE16" s="3"/>
      <c r="AF16" s="9"/>
      <c r="AG16" s="3"/>
      <c r="AH16" s="3"/>
      <c r="AI16" s="29"/>
      <c r="AJ16" s="29"/>
      <c r="AK16" s="29"/>
      <c r="AL16" s="29"/>
    </row>
    <row r="17" spans="1:38" s="7" customFormat="1" x14ac:dyDescent="0.2">
      <c r="A17" s="13">
        <v>10237</v>
      </c>
      <c r="B17" s="75" t="s">
        <v>11</v>
      </c>
      <c r="C17" s="12">
        <v>83866.081000000006</v>
      </c>
      <c r="D17" s="12">
        <v>88505.64</v>
      </c>
      <c r="E17" s="12">
        <v>96709.38</v>
      </c>
      <c r="F17" s="12">
        <v>99650.870999999999</v>
      </c>
      <c r="G17" s="12">
        <v>94321.59</v>
      </c>
      <c r="H17" s="12">
        <v>94922.335999999996</v>
      </c>
      <c r="I17" s="12">
        <v>74767.857999999993</v>
      </c>
      <c r="J17" s="12">
        <v>66609.365000000005</v>
      </c>
      <c r="K17" s="12">
        <v>63546.042000000001</v>
      </c>
      <c r="L17" s="12">
        <v>69008.395000000004</v>
      </c>
      <c r="M17" s="12">
        <v>68243.421000000002</v>
      </c>
      <c r="N17" s="64">
        <v>64852.966</v>
      </c>
      <c r="O17" s="58">
        <v>73789.56</v>
      </c>
      <c r="P17" s="12">
        <v>88430.66</v>
      </c>
      <c r="Q17" s="12">
        <v>105190.2</v>
      </c>
      <c r="R17" s="12">
        <v>104579.8</v>
      </c>
      <c r="S17" s="12">
        <v>100922.8</v>
      </c>
      <c r="T17" s="12">
        <v>90483.04</v>
      </c>
      <c r="U17" s="12">
        <v>81477.64</v>
      </c>
      <c r="V17" s="12">
        <v>67974.19</v>
      </c>
      <c r="W17" s="12">
        <v>64964.51</v>
      </c>
      <c r="X17" s="12">
        <v>65110.559999999998</v>
      </c>
      <c r="Y17" s="12">
        <v>70996.66</v>
      </c>
      <c r="Z17" s="15">
        <v>67200.45</v>
      </c>
      <c r="AA17" s="21"/>
      <c r="AB17" s="9"/>
      <c r="AC17" s="9"/>
      <c r="AD17" s="41"/>
      <c r="AF17" s="21"/>
      <c r="AI17" s="33"/>
      <c r="AJ17" s="33"/>
      <c r="AK17" s="33"/>
      <c r="AL17" s="33"/>
    </row>
    <row r="18" spans="1:38" s="7" customFormat="1" x14ac:dyDescent="0.2">
      <c r="A18" s="68">
        <v>10286</v>
      </c>
      <c r="B18" s="76" t="s">
        <v>30</v>
      </c>
      <c r="C18" s="78">
        <v>47885.39</v>
      </c>
      <c r="D18" s="78">
        <v>56501.39</v>
      </c>
      <c r="E18" s="78">
        <v>66265.34</v>
      </c>
      <c r="F18" s="78">
        <v>70471.63</v>
      </c>
      <c r="G18" s="78">
        <v>57479.58</v>
      </c>
      <c r="H18" s="78">
        <v>51373.51</v>
      </c>
      <c r="I18" s="78">
        <v>42651.09</v>
      </c>
      <c r="J18" s="78">
        <v>40672.47</v>
      </c>
      <c r="K18" s="78">
        <v>44133.54</v>
      </c>
      <c r="L18" s="78">
        <v>54208.21</v>
      </c>
      <c r="M18" s="78">
        <v>53838.38</v>
      </c>
      <c r="N18" s="93">
        <v>45026.03</v>
      </c>
      <c r="O18" s="67">
        <v>45948</v>
      </c>
      <c r="P18" s="51">
        <v>56198</v>
      </c>
      <c r="Q18" s="51">
        <v>71687</v>
      </c>
      <c r="R18" s="51">
        <v>72080</v>
      </c>
      <c r="S18" s="51">
        <v>61565</v>
      </c>
      <c r="T18" s="51">
        <v>51806</v>
      </c>
      <c r="U18" s="51">
        <v>42225</v>
      </c>
      <c r="V18" s="51">
        <v>43200</v>
      </c>
      <c r="W18" s="51">
        <v>46061</v>
      </c>
      <c r="X18" s="51">
        <v>55327</v>
      </c>
      <c r="Y18" s="51">
        <v>54193</v>
      </c>
      <c r="Z18" s="52">
        <v>44319</v>
      </c>
      <c r="AA18" s="21"/>
      <c r="AB18" s="9"/>
      <c r="AC18" s="9"/>
      <c r="AD18" s="41"/>
      <c r="AF18" s="21"/>
      <c r="AI18" s="33"/>
      <c r="AJ18" s="33"/>
      <c r="AK18" s="33"/>
      <c r="AL18" s="33"/>
    </row>
    <row r="19" spans="1:38" s="7" customFormat="1" x14ac:dyDescent="0.2">
      <c r="A19" s="13">
        <v>10294</v>
      </c>
      <c r="B19" s="75" t="s">
        <v>12</v>
      </c>
      <c r="C19" s="79">
        <v>26492.280999999999</v>
      </c>
      <c r="D19" s="79">
        <v>30061.674999999999</v>
      </c>
      <c r="E19" s="79">
        <v>33844.675999999999</v>
      </c>
      <c r="F19" s="79">
        <v>34717.667000000001</v>
      </c>
      <c r="G19" s="79">
        <v>32752.741999999998</v>
      </c>
      <c r="H19" s="79">
        <v>33149.589999999997</v>
      </c>
      <c r="I19" s="79">
        <v>24332.767</v>
      </c>
      <c r="J19" s="79">
        <v>20282.834999999999</v>
      </c>
      <c r="K19" s="79">
        <v>18407.782999999999</v>
      </c>
      <c r="L19" s="79">
        <v>18984.136999999999</v>
      </c>
      <c r="M19" s="79">
        <v>18636.744999999999</v>
      </c>
      <c r="N19" s="94">
        <v>18462.547999999999</v>
      </c>
      <c r="O19" s="58">
        <v>26380.62</v>
      </c>
      <c r="P19" s="12">
        <v>32020.1</v>
      </c>
      <c r="Q19" s="12">
        <v>38953.03</v>
      </c>
      <c r="R19" s="12">
        <v>38943.279999999999</v>
      </c>
      <c r="S19" s="12">
        <v>37076.410000000003</v>
      </c>
      <c r="T19" s="12">
        <v>35331.800000000003</v>
      </c>
      <c r="U19" s="12">
        <v>27270.18</v>
      </c>
      <c r="V19" s="12">
        <v>22488.49</v>
      </c>
      <c r="W19" s="12">
        <v>19434.939999999999</v>
      </c>
      <c r="X19" s="12">
        <v>19495.43</v>
      </c>
      <c r="Y19" s="12">
        <v>19759.38</v>
      </c>
      <c r="Z19" s="15">
        <v>19567.25</v>
      </c>
      <c r="AA19" s="21"/>
      <c r="AB19" s="9"/>
      <c r="AC19" s="9"/>
      <c r="AD19" s="41"/>
      <c r="AF19" s="21"/>
      <c r="AI19" s="33"/>
      <c r="AJ19" s="33"/>
      <c r="AK19" s="33"/>
      <c r="AL19" s="33"/>
    </row>
    <row r="20" spans="1:38" s="7" customFormat="1" x14ac:dyDescent="0.2">
      <c r="A20" s="68">
        <v>10306</v>
      </c>
      <c r="B20" s="76" t="s">
        <v>13</v>
      </c>
      <c r="C20" s="78">
        <v>84175.45</v>
      </c>
      <c r="D20" s="78">
        <v>83307.3</v>
      </c>
      <c r="E20" s="78">
        <v>87500.55</v>
      </c>
      <c r="F20" s="78">
        <v>83718.36</v>
      </c>
      <c r="G20" s="78">
        <v>66180.460000000006</v>
      </c>
      <c r="H20" s="78">
        <v>82620.149999999994</v>
      </c>
      <c r="I20" s="78">
        <v>76661.11</v>
      </c>
      <c r="J20" s="78">
        <v>54501.71</v>
      </c>
      <c r="K20" s="78">
        <v>26741.439999999999</v>
      </c>
      <c r="L20" s="78">
        <v>16219.69</v>
      </c>
      <c r="M20" s="78">
        <v>17785.39</v>
      </c>
      <c r="N20" s="93">
        <v>15206.08</v>
      </c>
      <c r="O20" s="67">
        <v>80313.08</v>
      </c>
      <c r="P20" s="51">
        <v>86589.88</v>
      </c>
      <c r="Q20" s="51">
        <v>95349.56</v>
      </c>
      <c r="R20" s="51">
        <v>121605.4</v>
      </c>
      <c r="S20" s="51">
        <v>107113</v>
      </c>
      <c r="T20" s="51">
        <v>113627.4</v>
      </c>
      <c r="U20" s="51">
        <v>106166.6</v>
      </c>
      <c r="V20" s="51">
        <v>105247.5</v>
      </c>
      <c r="W20" s="51">
        <v>100646.3</v>
      </c>
      <c r="X20" s="51">
        <v>103795.6</v>
      </c>
      <c r="Y20" s="51">
        <v>103534.5</v>
      </c>
      <c r="Z20" s="52">
        <v>101103.6</v>
      </c>
      <c r="AA20" s="21"/>
      <c r="AB20" s="9"/>
      <c r="AC20" s="9"/>
      <c r="AD20" s="41"/>
      <c r="AF20" s="21"/>
      <c r="AI20" s="33"/>
      <c r="AJ20" s="33"/>
      <c r="AK20" s="33"/>
      <c r="AL20" s="33"/>
    </row>
    <row r="21" spans="1:38" s="7" customFormat="1" x14ac:dyDescent="0.2">
      <c r="A21" s="13">
        <v>10349</v>
      </c>
      <c r="B21" s="75" t="s">
        <v>14</v>
      </c>
      <c r="C21" s="81">
        <v>790282.9</v>
      </c>
      <c r="D21" s="80">
        <v>830691</v>
      </c>
      <c r="E21" s="80">
        <v>907307.9</v>
      </c>
      <c r="F21" s="80">
        <v>931797.4</v>
      </c>
      <c r="G21" s="80">
        <v>857242</v>
      </c>
      <c r="H21" s="80">
        <v>858117.8</v>
      </c>
      <c r="I21" s="80">
        <v>687321.8</v>
      </c>
      <c r="J21" s="80">
        <v>668406.4</v>
      </c>
      <c r="K21" s="80">
        <v>646275.6</v>
      </c>
      <c r="L21" s="80">
        <v>685101</v>
      </c>
      <c r="M21" s="80">
        <v>698966.8</v>
      </c>
      <c r="N21" s="95">
        <v>673629.6</v>
      </c>
      <c r="O21" s="58">
        <v>735615</v>
      </c>
      <c r="P21" s="12">
        <v>806614</v>
      </c>
      <c r="Q21" s="12">
        <v>909487</v>
      </c>
      <c r="R21" s="12">
        <v>902579</v>
      </c>
      <c r="S21" s="12">
        <v>798959</v>
      </c>
      <c r="T21" s="12">
        <v>825215</v>
      </c>
      <c r="U21" s="12">
        <v>737606</v>
      </c>
      <c r="V21" s="12">
        <v>707550</v>
      </c>
      <c r="W21" s="12">
        <v>664618</v>
      </c>
      <c r="X21" s="12">
        <v>700691</v>
      </c>
      <c r="Y21" s="12">
        <v>702299</v>
      </c>
      <c r="Z21" s="15">
        <v>672973</v>
      </c>
      <c r="AA21" s="21"/>
      <c r="AB21" s="9"/>
      <c r="AC21" s="9"/>
      <c r="AD21" s="41"/>
      <c r="AF21" s="21"/>
      <c r="AI21" s="33"/>
      <c r="AJ21" s="33"/>
      <c r="AK21" s="33"/>
      <c r="AL21" s="33"/>
    </row>
    <row r="22" spans="1:38" s="7" customFormat="1" x14ac:dyDescent="0.2">
      <c r="A22" s="68">
        <v>10354</v>
      </c>
      <c r="B22" s="76" t="s">
        <v>15</v>
      </c>
      <c r="C22" s="78">
        <v>568573.054</v>
      </c>
      <c r="D22" s="78">
        <v>620366.73800000001</v>
      </c>
      <c r="E22" s="78">
        <v>685649.15899999999</v>
      </c>
      <c r="F22" s="78">
        <v>689902.45900000003</v>
      </c>
      <c r="G22" s="78">
        <v>642112.53</v>
      </c>
      <c r="H22" s="78">
        <v>642892.46299999999</v>
      </c>
      <c r="I22" s="78">
        <v>501504.90600000002</v>
      </c>
      <c r="J22" s="78">
        <v>466128.32</v>
      </c>
      <c r="K22" s="78">
        <v>446556.06199999998</v>
      </c>
      <c r="L22" s="78">
        <v>468492.27</v>
      </c>
      <c r="M22" s="78">
        <v>472388.734</v>
      </c>
      <c r="N22" s="93">
        <v>456092.87400000001</v>
      </c>
      <c r="O22" s="67">
        <v>513546</v>
      </c>
      <c r="P22" s="51">
        <v>592878</v>
      </c>
      <c r="Q22" s="51">
        <v>696427</v>
      </c>
      <c r="R22" s="51">
        <v>699318</v>
      </c>
      <c r="S22" s="51">
        <v>593209</v>
      </c>
      <c r="T22" s="51">
        <v>610561</v>
      </c>
      <c r="U22" s="51">
        <v>517006</v>
      </c>
      <c r="V22" s="51">
        <v>477496</v>
      </c>
      <c r="W22" s="51">
        <v>453859</v>
      </c>
      <c r="X22" s="51">
        <v>474352</v>
      </c>
      <c r="Y22" s="51">
        <v>476308</v>
      </c>
      <c r="Z22" s="52">
        <v>455142</v>
      </c>
      <c r="AA22" s="21"/>
      <c r="AB22" s="9"/>
      <c r="AC22" s="9"/>
      <c r="AD22" s="41"/>
      <c r="AF22" s="21"/>
      <c r="AI22" s="33"/>
      <c r="AJ22" s="33"/>
      <c r="AK22" s="33"/>
      <c r="AL22" s="33"/>
    </row>
    <row r="23" spans="1:38" s="7" customFormat="1" ht="13.5" thickBot="1" x14ac:dyDescent="0.25">
      <c r="A23" s="34">
        <v>10370</v>
      </c>
      <c r="B23" s="77" t="s">
        <v>16</v>
      </c>
      <c r="C23" s="82">
        <v>408797</v>
      </c>
      <c r="D23" s="82">
        <v>440139</v>
      </c>
      <c r="E23" s="82">
        <v>479714</v>
      </c>
      <c r="F23" s="82">
        <v>489359</v>
      </c>
      <c r="G23" s="82">
        <v>453826</v>
      </c>
      <c r="H23" s="82">
        <v>462309</v>
      </c>
      <c r="I23" s="82">
        <v>369067</v>
      </c>
      <c r="J23" s="82">
        <v>346503</v>
      </c>
      <c r="K23" s="82">
        <v>335324</v>
      </c>
      <c r="L23" s="82">
        <v>345576</v>
      </c>
      <c r="M23" s="82">
        <v>357609</v>
      </c>
      <c r="N23" s="96">
        <v>340572</v>
      </c>
      <c r="O23" s="36">
        <v>399030</v>
      </c>
      <c r="P23" s="37">
        <v>445926</v>
      </c>
      <c r="Q23" s="37">
        <v>493682</v>
      </c>
      <c r="R23" s="37">
        <v>494178</v>
      </c>
      <c r="S23" s="37">
        <v>448533</v>
      </c>
      <c r="T23" s="37">
        <v>471154</v>
      </c>
      <c r="U23" s="37">
        <v>389385</v>
      </c>
      <c r="V23" s="37">
        <v>367798</v>
      </c>
      <c r="W23" s="37">
        <v>348442</v>
      </c>
      <c r="X23" s="37">
        <v>360671</v>
      </c>
      <c r="Y23" s="37">
        <v>365545</v>
      </c>
      <c r="Z23" s="38">
        <v>349325</v>
      </c>
      <c r="AA23" s="21"/>
      <c r="AB23" s="9"/>
      <c r="AC23" s="9"/>
      <c r="AD23" s="41"/>
      <c r="AF23" s="21"/>
      <c r="AI23" s="33"/>
      <c r="AJ23" s="33"/>
      <c r="AK23" s="33"/>
      <c r="AL23" s="33"/>
    </row>
    <row r="25" spans="1:38" x14ac:dyDescent="0.2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11"/>
    </row>
    <row r="26" spans="1:38" x14ac:dyDescent="0.2">
      <c r="A26" s="3" t="s">
        <v>25</v>
      </c>
      <c r="N26" s="11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11"/>
    </row>
    <row r="27" spans="1:38" x14ac:dyDescent="0.2">
      <c r="A27" s="3" t="s">
        <v>23</v>
      </c>
      <c r="N27" s="11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11"/>
    </row>
    <row r="28" spans="1:38" x14ac:dyDescent="0.2">
      <c r="A28" s="3" t="s">
        <v>24</v>
      </c>
      <c r="N28" s="11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1"/>
    </row>
    <row r="29" spans="1:38" x14ac:dyDescent="0.2">
      <c r="A29" s="3" t="s">
        <v>19</v>
      </c>
      <c r="N29" s="11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11"/>
    </row>
    <row r="30" spans="1:38" x14ac:dyDescent="0.2">
      <c r="A30" s="3" t="s">
        <v>20</v>
      </c>
      <c r="N30" s="11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1"/>
    </row>
    <row r="31" spans="1:38" x14ac:dyDescent="0.2">
      <c r="A31" s="3" t="s">
        <v>21</v>
      </c>
      <c r="N31" s="11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11"/>
    </row>
    <row r="32" spans="1:3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customFormat="1" x14ac:dyDescent="0.2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x14ac:dyDescent="0.2">
      <c r="A35"/>
      <c r="B35"/>
      <c r="C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8"/>
      <c r="P35" s="87"/>
      <c r="Q35" s="87"/>
      <c r="R35" s="87"/>
      <c r="S35" s="87"/>
      <c r="T35" s="87"/>
      <c r="U35" s="86"/>
      <c r="V35" s="86"/>
      <c r="W35" s="86"/>
      <c r="X35" s="86"/>
      <c r="Y35" s="86"/>
      <c r="Z35" s="86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x14ac:dyDescent="0.2">
      <c r="A37"/>
      <c r="B37"/>
      <c r="C37"/>
      <c r="D37"/>
      <c r="E37" s="57"/>
      <c r="F37"/>
      <c r="G37"/>
      <c r="H37"/>
      <c r="I37"/>
      <c r="J37"/>
      <c r="K37"/>
      <c r="L37"/>
      <c r="M37"/>
      <c r="N37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87"/>
      <c r="P40" s="87"/>
      <c r="Q40" s="87"/>
      <c r="R40" s="87"/>
      <c r="S40" s="89"/>
      <c r="T40" s="89"/>
      <c r="U40" s="89"/>
      <c r="V40" s="89"/>
      <c r="W40" s="89"/>
      <c r="X40" s="89"/>
      <c r="Y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x14ac:dyDescent="0.2"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x14ac:dyDescent="0.2"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x14ac:dyDescent="0.2"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x14ac:dyDescent="0.2"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</sheetData>
  <autoFilter ref="A7:AL23"/>
  <mergeCells count="4">
    <mergeCell ref="A5:A7"/>
    <mergeCell ref="B5:B7"/>
    <mergeCell ref="C5:N5"/>
    <mergeCell ref="O5:Z5"/>
  </mergeCells>
  <phoneticPr fontId="26" type="noConversion"/>
  <pageMargins left="0.75" right="0.75" top="1" bottom="1" header="0.5" footer="0.5"/>
  <pageSetup scale="38" orientation="landscape" r:id="rId1"/>
  <headerFooter alignWithMargins="0"/>
  <colBreaks count="1" manualBreakCount="1"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O17" sqref="O17:Z17"/>
    </sheetView>
  </sheetViews>
  <sheetFormatPr defaultColWidth="9.140625" defaultRowHeight="12.75" x14ac:dyDescent="0.2"/>
  <cols>
    <col min="1" max="1" width="9.28515625" style="3" bestFit="1" customWidth="1"/>
    <col min="2" max="2" width="22.28515625" style="3" customWidth="1"/>
    <col min="3" max="26" width="10.7109375" style="3" customWidth="1"/>
    <col min="27" max="16384" width="9.140625" style="3"/>
  </cols>
  <sheetData>
    <row r="1" spans="1:32" ht="18.75" x14ac:dyDescent="0.3">
      <c r="A1" s="8" t="s">
        <v>27</v>
      </c>
      <c r="B1" s="1"/>
      <c r="C1" s="2"/>
      <c r="K1" s="6"/>
      <c r="M1" s="6"/>
      <c r="N1" s="7"/>
      <c r="O1" s="7"/>
    </row>
    <row r="2" spans="1:32" ht="15.75" x14ac:dyDescent="0.25">
      <c r="A2" s="4" t="str">
        <f>'TRL Energy'!A2</f>
        <v>Prepared by BPA, July 30, 2021</v>
      </c>
      <c r="B2" s="1"/>
      <c r="C2" s="2"/>
    </row>
    <row r="3" spans="1:32" x14ac:dyDescent="0.2">
      <c r="A3" s="1"/>
      <c r="B3" s="1"/>
      <c r="C3" s="1"/>
    </row>
    <row r="4" spans="1:32" ht="13.5" thickBot="1" x14ac:dyDescent="0.25">
      <c r="A4" s="1"/>
      <c r="B4" s="1"/>
      <c r="C4" s="1"/>
    </row>
    <row r="5" spans="1:32" s="7" customFormat="1" ht="13.5" thickBot="1" x14ac:dyDescent="0.25">
      <c r="A5" s="97" t="s">
        <v>0</v>
      </c>
      <c r="B5" s="100" t="s">
        <v>22</v>
      </c>
      <c r="C5" s="106" t="s">
        <v>34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35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</row>
    <row r="6" spans="1:32" s="7" customFormat="1" x14ac:dyDescent="0.2">
      <c r="A6" s="98"/>
      <c r="B6" s="101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32" s="7" customFormat="1" ht="13.5" thickBot="1" x14ac:dyDescent="0.25">
      <c r="A7" s="99"/>
      <c r="B7" s="102"/>
      <c r="C7" s="16" t="s">
        <v>17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  <c r="N7" s="18" t="s">
        <v>17</v>
      </c>
      <c r="O7" s="16" t="s">
        <v>17</v>
      </c>
      <c r="P7" s="17" t="s">
        <v>17</v>
      </c>
      <c r="Q7" s="17" t="s">
        <v>17</v>
      </c>
      <c r="R7" s="17" t="s">
        <v>17</v>
      </c>
      <c r="S7" s="17" t="s">
        <v>17</v>
      </c>
      <c r="T7" s="17" t="s">
        <v>17</v>
      </c>
      <c r="U7" s="17" t="s">
        <v>17</v>
      </c>
      <c r="V7" s="17" t="s">
        <v>17</v>
      </c>
      <c r="W7" s="17" t="s">
        <v>17</v>
      </c>
      <c r="X7" s="17" t="s">
        <v>17</v>
      </c>
      <c r="Y7" s="17" t="s">
        <v>17</v>
      </c>
      <c r="Z7" s="18" t="s">
        <v>17</v>
      </c>
      <c r="AC7" s="3"/>
      <c r="AD7" s="3"/>
      <c r="AE7" s="3"/>
      <c r="AF7" s="3"/>
    </row>
    <row r="8" spans="1:32" s="7" customFormat="1" x14ac:dyDescent="0.2">
      <c r="A8" s="46">
        <v>10024</v>
      </c>
      <c r="B8" s="47" t="s">
        <v>2</v>
      </c>
      <c r="C8" s="61">
        <f>ROUND(276003/1000,0)</f>
        <v>276</v>
      </c>
      <c r="D8" s="60">
        <f>ROUND(259971/1000,0)</f>
        <v>260</v>
      </c>
      <c r="E8" s="61">
        <f>ROUND(253581/1000,0)</f>
        <v>254</v>
      </c>
      <c r="F8" s="61">
        <f>ROUND(311834/1000,0)</f>
        <v>312</v>
      </c>
      <c r="G8" s="61">
        <f>ROUND(252192/1000,0)</f>
        <v>252</v>
      </c>
      <c r="H8" s="61">
        <f>ROUND(245381/1000,0)</f>
        <v>245</v>
      </c>
      <c r="I8" s="61">
        <f>ROUND(257769/1000,0)</f>
        <v>258</v>
      </c>
      <c r="J8" s="61">
        <f>ROUND(355269/1000,0)</f>
        <v>355</v>
      </c>
      <c r="K8" s="61">
        <f>ROUND(392121/1000,0)</f>
        <v>392</v>
      </c>
      <c r="L8" s="61">
        <f>ROUND(436993/1000,0)</f>
        <v>437</v>
      </c>
      <c r="M8" s="61">
        <f>ROUND(401026/1000,0)</f>
        <v>401</v>
      </c>
      <c r="N8" s="62">
        <f>ROUND(332880/1000,0)</f>
        <v>333</v>
      </c>
      <c r="O8" s="60">
        <v>230.91871851887447</v>
      </c>
      <c r="P8" s="61">
        <v>242.82258456783993</v>
      </c>
      <c r="Q8" s="61">
        <v>281.52837347283349</v>
      </c>
      <c r="R8" s="61">
        <v>299.50913167826212</v>
      </c>
      <c r="S8" s="61">
        <v>296.15637063107533</v>
      </c>
      <c r="T8" s="61">
        <v>253.06239364586486</v>
      </c>
      <c r="U8" s="61">
        <v>241.56184092902561</v>
      </c>
      <c r="V8" s="61">
        <v>357.44825178529419</v>
      </c>
      <c r="W8" s="61">
        <v>406.5047981915896</v>
      </c>
      <c r="X8" s="61">
        <v>422.77914623067159</v>
      </c>
      <c r="Y8" s="61">
        <v>401.17598327356507</v>
      </c>
      <c r="Z8" s="62">
        <v>297.10798492069824</v>
      </c>
      <c r="AA8" s="19"/>
      <c r="AB8" s="19"/>
      <c r="AC8" s="29"/>
      <c r="AD8" s="29"/>
      <c r="AE8" s="32"/>
      <c r="AF8" s="32"/>
    </row>
    <row r="9" spans="1:32" s="7" customFormat="1" x14ac:dyDescent="0.2">
      <c r="A9" s="13">
        <v>10103</v>
      </c>
      <c r="B9" s="14" t="s">
        <v>3</v>
      </c>
      <c r="C9" s="58">
        <v>824.69</v>
      </c>
      <c r="D9" s="12">
        <v>835.37300000000005</v>
      </c>
      <c r="E9" s="12">
        <v>849.125</v>
      </c>
      <c r="F9" s="12">
        <v>844.53899999999999</v>
      </c>
      <c r="G9" s="12">
        <v>865.51700000000005</v>
      </c>
      <c r="H9" s="12">
        <v>816.05899999999997</v>
      </c>
      <c r="I9" s="12">
        <v>666.84799999999996</v>
      </c>
      <c r="J9" s="12">
        <v>694.95299999999997</v>
      </c>
      <c r="K9" s="12">
        <v>770.73</v>
      </c>
      <c r="L9" s="12">
        <v>857.44200000000001</v>
      </c>
      <c r="M9" s="12">
        <v>826.76599999999996</v>
      </c>
      <c r="N9" s="15">
        <v>818.01</v>
      </c>
      <c r="O9" s="58">
        <v>732.92600000000004</v>
      </c>
      <c r="P9" s="12">
        <v>783.30100000000004</v>
      </c>
      <c r="Q9" s="12">
        <v>967.34699999999998</v>
      </c>
      <c r="R9" s="12">
        <v>962.68100000000004</v>
      </c>
      <c r="S9" s="12">
        <v>871.46199999999999</v>
      </c>
      <c r="T9" s="12">
        <v>842.78700000000003</v>
      </c>
      <c r="U9" s="12">
        <v>734.33500000000004</v>
      </c>
      <c r="V9" s="12">
        <v>664.78200000000004</v>
      </c>
      <c r="W9" s="12">
        <v>775.82799999999997</v>
      </c>
      <c r="X9" s="12">
        <v>801.16399999999999</v>
      </c>
      <c r="Y9" s="12">
        <v>827.12300000000005</v>
      </c>
      <c r="Z9" s="15">
        <v>719.46100000000001</v>
      </c>
      <c r="AA9" s="19"/>
      <c r="AB9" s="19"/>
      <c r="AC9" s="29"/>
      <c r="AD9" s="29"/>
      <c r="AE9" s="32"/>
      <c r="AF9" s="32"/>
    </row>
    <row r="10" spans="1:32" x14ac:dyDescent="0.2">
      <c r="A10" s="68">
        <v>10105</v>
      </c>
      <c r="B10" s="69" t="s">
        <v>4</v>
      </c>
      <c r="C10" s="67">
        <v>129.64699999999999</v>
      </c>
      <c r="D10" s="51">
        <v>133.63399999999999</v>
      </c>
      <c r="E10" s="51">
        <v>134.01499999999999</v>
      </c>
      <c r="F10" s="51">
        <v>135.28899999999999</v>
      </c>
      <c r="G10" s="51">
        <v>135.09299999999999</v>
      </c>
      <c r="H10" s="51">
        <v>135.68600000000001</v>
      </c>
      <c r="I10" s="51">
        <v>131.33099999999999</v>
      </c>
      <c r="J10" s="51">
        <v>125.274</v>
      </c>
      <c r="K10" s="51">
        <v>120.38800000000001</v>
      </c>
      <c r="L10" s="51">
        <v>123.352</v>
      </c>
      <c r="M10" s="51">
        <v>123.258</v>
      </c>
      <c r="N10" s="52">
        <v>123.818</v>
      </c>
      <c r="O10" s="67">
        <v>99.009458789999996</v>
      </c>
      <c r="P10" s="51">
        <v>100.39441549999999</v>
      </c>
      <c r="Q10" s="51">
        <v>102.9003635</v>
      </c>
      <c r="R10" s="51">
        <v>99.666531610000007</v>
      </c>
      <c r="S10" s="51">
        <v>102.00888140000001</v>
      </c>
      <c r="T10" s="51">
        <v>100.92744860000001</v>
      </c>
      <c r="U10" s="51">
        <v>97.426368850000003</v>
      </c>
      <c r="V10" s="51">
        <v>93.371423429999993</v>
      </c>
      <c r="W10" s="51">
        <v>89.322125439999994</v>
      </c>
      <c r="X10" s="51">
        <v>89.304464789999997</v>
      </c>
      <c r="Y10" s="51">
        <v>88.809206070000002</v>
      </c>
      <c r="Z10" s="52">
        <v>89.233959290000001</v>
      </c>
      <c r="AA10" s="10"/>
      <c r="AB10" s="19"/>
      <c r="AC10" s="29"/>
      <c r="AD10" s="29"/>
      <c r="AE10" s="32"/>
      <c r="AF10" s="32"/>
    </row>
    <row r="11" spans="1:32" s="7" customFormat="1" x14ac:dyDescent="0.2">
      <c r="A11" s="13">
        <v>10123</v>
      </c>
      <c r="B11" s="14" t="s">
        <v>5</v>
      </c>
      <c r="C11" s="58">
        <v>697.66600000000005</v>
      </c>
      <c r="D11" s="12">
        <v>680.61800000000005</v>
      </c>
      <c r="E11" s="12">
        <v>653.96799999999996</v>
      </c>
      <c r="F11" s="12">
        <v>693.36699999999996</v>
      </c>
      <c r="G11" s="12">
        <v>678.32600000000002</v>
      </c>
      <c r="H11" s="12">
        <v>679.80399999999997</v>
      </c>
      <c r="I11" s="12">
        <v>667.13699999999994</v>
      </c>
      <c r="J11" s="12">
        <v>550.76499999999999</v>
      </c>
      <c r="K11" s="12">
        <v>567.15200000000004</v>
      </c>
      <c r="L11" s="12">
        <v>574.58500000000004</v>
      </c>
      <c r="M11" s="12">
        <v>596.46600000000001</v>
      </c>
      <c r="N11" s="15">
        <v>558.51800000000003</v>
      </c>
      <c r="O11" s="58">
        <v>616.16600000000005</v>
      </c>
      <c r="P11" s="12">
        <v>661.15</v>
      </c>
      <c r="Q11" s="12">
        <v>723.375</v>
      </c>
      <c r="R11" s="12">
        <v>693.35</v>
      </c>
      <c r="S11" s="12">
        <v>682.67499999999995</v>
      </c>
      <c r="T11" s="12">
        <v>668.93499999999995</v>
      </c>
      <c r="U11" s="12">
        <v>639.48</v>
      </c>
      <c r="V11" s="12">
        <v>573.40800000000002</v>
      </c>
      <c r="W11" s="12">
        <v>597.77099999999996</v>
      </c>
      <c r="X11" s="12">
        <v>602.31399999999996</v>
      </c>
      <c r="Y11" s="12">
        <v>623.56299999999999</v>
      </c>
      <c r="Z11" s="15">
        <v>579.82799999999997</v>
      </c>
      <c r="AA11" s="19"/>
      <c r="AB11" s="19"/>
      <c r="AC11" s="29"/>
      <c r="AD11" s="29"/>
      <c r="AE11" s="32"/>
      <c r="AF11" s="32"/>
    </row>
    <row r="12" spans="1:32" x14ac:dyDescent="0.2">
      <c r="A12" s="68">
        <v>10157</v>
      </c>
      <c r="B12" s="69" t="s">
        <v>6</v>
      </c>
      <c r="C12" s="67">
        <v>122.557</v>
      </c>
      <c r="D12" s="51">
        <v>117.84399999999999</v>
      </c>
      <c r="E12" s="51">
        <v>119.934</v>
      </c>
      <c r="F12" s="51">
        <v>118.887</v>
      </c>
      <c r="G12" s="51">
        <v>125.51600000000001</v>
      </c>
      <c r="H12" s="51">
        <v>116.499</v>
      </c>
      <c r="I12" s="51">
        <v>103.46</v>
      </c>
      <c r="J12" s="51">
        <v>91.278999999999996</v>
      </c>
      <c r="K12" s="51">
        <v>90.75</v>
      </c>
      <c r="L12" s="51">
        <v>100.134</v>
      </c>
      <c r="M12" s="51">
        <v>99.504000000000005</v>
      </c>
      <c r="N12" s="52">
        <v>96.832999999999998</v>
      </c>
      <c r="O12" s="67">
        <v>127.43</v>
      </c>
      <c r="P12" s="51">
        <v>138.16300000000001</v>
      </c>
      <c r="Q12" s="51">
        <v>150.477</v>
      </c>
      <c r="R12" s="51">
        <v>146.24700000000001</v>
      </c>
      <c r="S12" s="51">
        <v>149.81100000000001</v>
      </c>
      <c r="T12" s="51">
        <v>134.00800000000001</v>
      </c>
      <c r="U12" s="51">
        <v>124.492</v>
      </c>
      <c r="V12" s="51">
        <v>102.80200000000001</v>
      </c>
      <c r="W12" s="51">
        <v>110.307</v>
      </c>
      <c r="X12" s="51">
        <v>118.22799999999999</v>
      </c>
      <c r="Y12" s="51">
        <v>117.758</v>
      </c>
      <c r="Z12" s="52">
        <v>105.658</v>
      </c>
      <c r="AA12" s="10"/>
      <c r="AB12" s="19"/>
      <c r="AC12" s="29"/>
      <c r="AD12" s="29"/>
      <c r="AE12" s="32"/>
      <c r="AF12" s="32"/>
    </row>
    <row r="13" spans="1:32" s="7" customFormat="1" x14ac:dyDescent="0.2">
      <c r="A13" s="13">
        <v>10170</v>
      </c>
      <c r="B13" s="14" t="s">
        <v>7</v>
      </c>
      <c r="C13" s="58">
        <v>432</v>
      </c>
      <c r="D13" s="12">
        <v>422</v>
      </c>
      <c r="E13" s="12">
        <v>432</v>
      </c>
      <c r="F13" s="12">
        <v>428</v>
      </c>
      <c r="G13" s="12">
        <v>458</v>
      </c>
      <c r="H13" s="12">
        <v>388</v>
      </c>
      <c r="I13" s="12">
        <v>368</v>
      </c>
      <c r="J13" s="12">
        <v>305</v>
      </c>
      <c r="K13" s="12">
        <v>343</v>
      </c>
      <c r="L13" s="12">
        <v>379</v>
      </c>
      <c r="M13" s="12">
        <v>370</v>
      </c>
      <c r="N13" s="15">
        <v>363</v>
      </c>
      <c r="O13" s="58">
        <v>323.63600000000002</v>
      </c>
      <c r="P13" s="12">
        <v>384.63099999999997</v>
      </c>
      <c r="Q13" s="12">
        <v>467.30399999999997</v>
      </c>
      <c r="R13" s="12">
        <v>438.911</v>
      </c>
      <c r="S13" s="12">
        <v>403.30399999999997</v>
      </c>
      <c r="T13" s="12">
        <v>400.87099999999998</v>
      </c>
      <c r="U13" s="12">
        <v>367.40300000000002</v>
      </c>
      <c r="V13" s="12">
        <v>311.113</v>
      </c>
      <c r="W13" s="12">
        <v>323.22899999999998</v>
      </c>
      <c r="X13" s="12">
        <v>337.43799999999999</v>
      </c>
      <c r="Y13" s="12">
        <v>344.01299999999998</v>
      </c>
      <c r="Z13" s="15">
        <v>286.86099999999999</v>
      </c>
      <c r="AA13" s="19"/>
      <c r="AB13" s="19"/>
      <c r="AC13" s="29"/>
      <c r="AD13" s="29"/>
      <c r="AE13" s="32"/>
      <c r="AF13" s="32"/>
    </row>
    <row r="14" spans="1:32" x14ac:dyDescent="0.2">
      <c r="A14" s="68">
        <v>10183</v>
      </c>
      <c r="B14" s="69" t="s">
        <v>8</v>
      </c>
      <c r="C14" s="67">
        <f>ROUND(168526/1000,0)</f>
        <v>169</v>
      </c>
      <c r="D14" s="51">
        <f>ROUND(154739/1000,0)</f>
        <v>155</v>
      </c>
      <c r="E14" s="51">
        <f>ROUND(156375/1000,0)</f>
        <v>156</v>
      </c>
      <c r="F14" s="51">
        <f>ROUND(177848/1000,0)</f>
        <v>178</v>
      </c>
      <c r="G14" s="51">
        <f>ROUND(151720/1000,0)</f>
        <v>152</v>
      </c>
      <c r="H14" s="51">
        <f>ROUND(140454/1000,0)</f>
        <v>140</v>
      </c>
      <c r="I14" s="51">
        <f>ROUND(133542/1000,0)</f>
        <v>134</v>
      </c>
      <c r="J14" s="51">
        <f>ROUND(192122/1000,0)</f>
        <v>192</v>
      </c>
      <c r="K14" s="51">
        <f>ROUND(214179/1000,0)</f>
        <v>214</v>
      </c>
      <c r="L14" s="51">
        <f>ROUND(245001/1000,0)</f>
        <v>245</v>
      </c>
      <c r="M14" s="51">
        <f>ROUND(241422/1000,0)</f>
        <v>241</v>
      </c>
      <c r="N14" s="52">
        <f>ROUND(218966/1000,0)</f>
        <v>219</v>
      </c>
      <c r="O14" s="67">
        <v>161.87461981151938</v>
      </c>
      <c r="P14" s="51">
        <v>188.24953728539916</v>
      </c>
      <c r="Q14" s="51">
        <v>184.21950454891794</v>
      </c>
      <c r="R14" s="51">
        <v>169.73960926423368</v>
      </c>
      <c r="S14" s="51">
        <v>161.16642804891359</v>
      </c>
      <c r="T14" s="51">
        <v>151.90799516325262</v>
      </c>
      <c r="U14" s="51">
        <v>143.93829146850786</v>
      </c>
      <c r="V14" s="51">
        <v>194.72208830348282</v>
      </c>
      <c r="W14" s="51">
        <v>225.87358668701401</v>
      </c>
      <c r="X14" s="51">
        <v>249.1111624503896</v>
      </c>
      <c r="Y14" s="51">
        <v>230.7136911484256</v>
      </c>
      <c r="Z14" s="52">
        <v>182.096547997107</v>
      </c>
      <c r="AA14" s="10"/>
      <c r="AB14" s="19"/>
      <c r="AC14" s="29"/>
      <c r="AD14" s="29"/>
      <c r="AE14" s="32"/>
      <c r="AF14" s="32"/>
    </row>
    <row r="15" spans="1:32" s="7" customFormat="1" x14ac:dyDescent="0.2">
      <c r="A15" s="13">
        <v>10191</v>
      </c>
      <c r="B15" s="14" t="s">
        <v>9</v>
      </c>
      <c r="C15" s="58">
        <v>205</v>
      </c>
      <c r="D15" s="12">
        <v>214</v>
      </c>
      <c r="E15" s="12">
        <v>200</v>
      </c>
      <c r="F15" s="12">
        <v>216</v>
      </c>
      <c r="G15" s="12">
        <v>214</v>
      </c>
      <c r="H15" s="12">
        <v>209</v>
      </c>
      <c r="I15" s="12">
        <v>179</v>
      </c>
      <c r="J15" s="12">
        <v>139</v>
      </c>
      <c r="K15" s="12">
        <v>119</v>
      </c>
      <c r="L15" s="12">
        <v>108</v>
      </c>
      <c r="M15" s="12">
        <v>107</v>
      </c>
      <c r="N15" s="15">
        <v>108</v>
      </c>
      <c r="O15" s="58">
        <v>171.65426640000001</v>
      </c>
      <c r="P15" s="12">
        <v>211.76568599999999</v>
      </c>
      <c r="Q15" s="12">
        <v>229.60101320000001</v>
      </c>
      <c r="R15" s="12">
        <v>231.4567261</v>
      </c>
      <c r="S15" s="12">
        <v>224.7755737</v>
      </c>
      <c r="T15" s="12">
        <v>212.33590699999999</v>
      </c>
      <c r="U15" s="12">
        <v>193.9344025</v>
      </c>
      <c r="V15" s="12">
        <v>162.59994510000001</v>
      </c>
      <c r="W15" s="12">
        <v>119.50700380000001</v>
      </c>
      <c r="X15" s="12">
        <v>125.7800522</v>
      </c>
      <c r="Y15" s="12">
        <v>127.11315159999999</v>
      </c>
      <c r="Z15" s="15">
        <v>146.73506159999999</v>
      </c>
      <c r="AA15" s="19"/>
      <c r="AB15" s="19"/>
      <c r="AC15" s="29"/>
      <c r="AD15" s="29"/>
      <c r="AE15" s="32"/>
      <c r="AF15" s="32"/>
    </row>
    <row r="16" spans="1:32" x14ac:dyDescent="0.2">
      <c r="A16" s="68">
        <v>10204</v>
      </c>
      <c r="B16" s="69" t="s">
        <v>10</v>
      </c>
      <c r="C16" s="67">
        <f>ROUND(128801/1000,0)</f>
        <v>129</v>
      </c>
      <c r="D16" s="51">
        <f>ROUND(117853/1000,0)</f>
        <v>118</v>
      </c>
      <c r="E16" s="51">
        <f>ROUND(129138/1000,0)</f>
        <v>129</v>
      </c>
      <c r="F16" s="51">
        <f>ROUND(126747/1000,0)</f>
        <v>127</v>
      </c>
      <c r="G16" s="51">
        <f>ROUND(138245/1000,0)</f>
        <v>138</v>
      </c>
      <c r="H16" s="51">
        <f>ROUND(119014/1000,0)</f>
        <v>119</v>
      </c>
      <c r="I16" s="51">
        <f>ROUND(101158/1000,0)</f>
        <v>101</v>
      </c>
      <c r="J16" s="51">
        <f>ROUND(92963/1000,0)</f>
        <v>93</v>
      </c>
      <c r="K16" s="51">
        <f>ROUND(99321/1000,0)</f>
        <v>99</v>
      </c>
      <c r="L16" s="51">
        <f>ROUND(113472/1000,0)</f>
        <v>113</v>
      </c>
      <c r="M16" s="51">
        <f>ROUND(115648/1000,0)</f>
        <v>116</v>
      </c>
      <c r="N16" s="52">
        <f>ROUND(99292/1000,0)</f>
        <v>99</v>
      </c>
      <c r="O16" s="67">
        <v>122.371</v>
      </c>
      <c r="P16" s="51">
        <v>129.06</v>
      </c>
      <c r="Q16" s="51">
        <v>152.24700000000001</v>
      </c>
      <c r="R16" s="51">
        <v>153.74100000000001</v>
      </c>
      <c r="S16" s="51">
        <v>146.69800000000001</v>
      </c>
      <c r="T16" s="51">
        <v>142.36699999999999</v>
      </c>
      <c r="U16" s="51">
        <v>119.355</v>
      </c>
      <c r="V16" s="51">
        <v>104.039</v>
      </c>
      <c r="W16" s="51">
        <v>120.247</v>
      </c>
      <c r="X16" s="51">
        <v>135.96799999999999</v>
      </c>
      <c r="Y16" s="51">
        <v>133.07400000000001</v>
      </c>
      <c r="Z16" s="52">
        <v>119.262</v>
      </c>
      <c r="AA16" s="10"/>
      <c r="AB16" s="19"/>
      <c r="AC16" s="29"/>
      <c r="AD16" s="29"/>
      <c r="AE16" s="32"/>
      <c r="AF16" s="32"/>
    </row>
    <row r="17" spans="1:32" x14ac:dyDescent="0.2">
      <c r="A17" s="13">
        <v>10237</v>
      </c>
      <c r="B17" s="14" t="s">
        <v>11</v>
      </c>
      <c r="C17" s="58">
        <v>189</v>
      </c>
      <c r="D17" s="12">
        <v>195</v>
      </c>
      <c r="E17" s="12">
        <v>181</v>
      </c>
      <c r="F17" s="12">
        <v>190</v>
      </c>
      <c r="G17" s="12">
        <v>198</v>
      </c>
      <c r="H17" s="12">
        <v>193</v>
      </c>
      <c r="I17" s="12">
        <v>161</v>
      </c>
      <c r="J17" s="12">
        <v>139</v>
      </c>
      <c r="K17" s="12">
        <v>115</v>
      </c>
      <c r="L17" s="12">
        <v>149</v>
      </c>
      <c r="M17" s="12">
        <v>134</v>
      </c>
      <c r="N17" s="15">
        <v>127</v>
      </c>
      <c r="O17" s="58">
        <v>170.05500000000001</v>
      </c>
      <c r="P17" s="12">
        <v>190.95400000000001</v>
      </c>
      <c r="Q17" s="12">
        <v>193.28399999999999</v>
      </c>
      <c r="R17" s="12">
        <v>187.15</v>
      </c>
      <c r="S17" s="12">
        <v>220.28800000000001</v>
      </c>
      <c r="T17" s="12">
        <v>199.816</v>
      </c>
      <c r="U17" s="12">
        <v>164.70099999999999</v>
      </c>
      <c r="V17" s="12">
        <v>138.65</v>
      </c>
      <c r="W17" s="12">
        <v>122.7</v>
      </c>
      <c r="X17" s="12">
        <v>139.446</v>
      </c>
      <c r="Y17" s="12">
        <v>127.554</v>
      </c>
      <c r="Z17" s="15">
        <v>132.87799999999999</v>
      </c>
      <c r="AA17" s="10"/>
      <c r="AB17" s="19"/>
      <c r="AC17" s="29"/>
      <c r="AD17" s="29"/>
      <c r="AE17" s="32"/>
      <c r="AF17" s="32"/>
    </row>
    <row r="18" spans="1:32" x14ac:dyDescent="0.2">
      <c r="A18" s="68">
        <v>10286</v>
      </c>
      <c r="B18" s="69" t="s">
        <v>30</v>
      </c>
      <c r="C18" s="67">
        <v>111.706</v>
      </c>
      <c r="D18" s="51">
        <v>115.539</v>
      </c>
      <c r="E18" s="51">
        <v>114.146</v>
      </c>
      <c r="F18" s="51">
        <v>161.87</v>
      </c>
      <c r="G18" s="51">
        <v>126.56399999999999</v>
      </c>
      <c r="H18" s="51">
        <v>113.14</v>
      </c>
      <c r="I18" s="51">
        <v>105.488</v>
      </c>
      <c r="J18" s="51">
        <v>81.647000000000006</v>
      </c>
      <c r="K18" s="51">
        <v>89.210999999999999</v>
      </c>
      <c r="L18" s="51">
        <v>103.83</v>
      </c>
      <c r="M18" s="51">
        <v>102.783</v>
      </c>
      <c r="N18" s="52">
        <v>90.262</v>
      </c>
      <c r="O18" s="67">
        <v>110</v>
      </c>
      <c r="P18" s="51">
        <v>145</v>
      </c>
      <c r="Q18" s="51">
        <v>163</v>
      </c>
      <c r="R18" s="51">
        <v>160</v>
      </c>
      <c r="S18" s="51">
        <v>150</v>
      </c>
      <c r="T18" s="51">
        <v>124</v>
      </c>
      <c r="U18" s="51">
        <v>97</v>
      </c>
      <c r="V18" s="51">
        <v>85</v>
      </c>
      <c r="W18" s="51">
        <v>99</v>
      </c>
      <c r="X18" s="51">
        <v>102</v>
      </c>
      <c r="Y18" s="51">
        <v>105</v>
      </c>
      <c r="Z18" s="52">
        <v>95</v>
      </c>
      <c r="AA18" s="10"/>
      <c r="AB18" s="19"/>
      <c r="AC18" s="29"/>
      <c r="AD18" s="29"/>
      <c r="AE18" s="32"/>
      <c r="AF18" s="32"/>
    </row>
    <row r="19" spans="1:32" x14ac:dyDescent="0.2">
      <c r="A19" s="13">
        <v>10294</v>
      </c>
      <c r="B19" s="14" t="s">
        <v>12</v>
      </c>
      <c r="C19" s="58">
        <v>67</v>
      </c>
      <c r="D19" s="12">
        <v>74</v>
      </c>
      <c r="E19" s="12">
        <v>65</v>
      </c>
      <c r="F19" s="12">
        <v>71</v>
      </c>
      <c r="G19" s="12">
        <v>70</v>
      </c>
      <c r="H19" s="12">
        <v>68</v>
      </c>
      <c r="I19" s="12">
        <v>57</v>
      </c>
      <c r="J19" s="12">
        <v>43</v>
      </c>
      <c r="K19" s="12">
        <v>35</v>
      </c>
      <c r="L19" s="12">
        <v>33</v>
      </c>
      <c r="M19" s="12">
        <v>31</v>
      </c>
      <c r="N19" s="15">
        <v>34</v>
      </c>
      <c r="O19" s="58">
        <v>55.018000000000001</v>
      </c>
      <c r="P19" s="12">
        <v>66.078999999999994</v>
      </c>
      <c r="Q19" s="12">
        <v>76.861999999999995</v>
      </c>
      <c r="R19" s="12">
        <v>77.048000000000002</v>
      </c>
      <c r="S19" s="12">
        <v>77.171999999999997</v>
      </c>
      <c r="T19" s="12">
        <v>69.712999999999994</v>
      </c>
      <c r="U19" s="12">
        <v>61.795000000000002</v>
      </c>
      <c r="V19" s="12">
        <v>43.905000000000001</v>
      </c>
      <c r="W19" s="12">
        <v>37.872</v>
      </c>
      <c r="X19" s="12">
        <v>34.524000000000001</v>
      </c>
      <c r="Y19" s="12">
        <v>32.639000000000003</v>
      </c>
      <c r="Z19" s="15">
        <v>41.014000000000003</v>
      </c>
      <c r="AA19" s="10"/>
      <c r="AB19" s="19"/>
      <c r="AC19" s="29"/>
      <c r="AD19" s="29"/>
      <c r="AE19" s="32"/>
      <c r="AF19" s="32"/>
    </row>
    <row r="20" spans="1:32" s="7" customFormat="1" x14ac:dyDescent="0.2">
      <c r="A20" s="68">
        <v>10306</v>
      </c>
      <c r="B20" s="69" t="s">
        <v>13</v>
      </c>
      <c r="C20" s="67">
        <v>140.26300000000001</v>
      </c>
      <c r="D20" s="51">
        <v>139.547</v>
      </c>
      <c r="E20" s="51">
        <v>135.19399999999999</v>
      </c>
      <c r="F20" s="51">
        <v>139.988</v>
      </c>
      <c r="G20" s="51">
        <v>142.31200000000001</v>
      </c>
      <c r="H20" s="51">
        <v>134.79599999999999</v>
      </c>
      <c r="I20" s="51">
        <v>136.773</v>
      </c>
      <c r="J20" s="51">
        <v>115.042</v>
      </c>
      <c r="K20" s="51">
        <v>102.184</v>
      </c>
      <c r="L20" s="51">
        <v>31.395</v>
      </c>
      <c r="M20" s="51">
        <v>31.74</v>
      </c>
      <c r="N20" s="52">
        <v>31.03</v>
      </c>
      <c r="O20" s="67">
        <v>132.58500000000001</v>
      </c>
      <c r="P20" s="51">
        <v>149.66300000000001</v>
      </c>
      <c r="Q20" s="51">
        <v>157.084</v>
      </c>
      <c r="R20" s="51">
        <v>200.39099999999999</v>
      </c>
      <c r="S20" s="51">
        <v>190.756</v>
      </c>
      <c r="T20" s="51">
        <v>183.77199999999999</v>
      </c>
      <c r="U20" s="51">
        <v>175.78100000000001</v>
      </c>
      <c r="V20" s="51">
        <v>171.92400000000001</v>
      </c>
      <c r="W20" s="51">
        <v>159.6</v>
      </c>
      <c r="X20" s="51">
        <v>161.786</v>
      </c>
      <c r="Y20" s="51">
        <v>156.65199999999999</v>
      </c>
      <c r="Z20" s="52">
        <v>163.785</v>
      </c>
      <c r="AA20" s="19"/>
      <c r="AB20" s="19"/>
      <c r="AC20" s="29"/>
      <c r="AD20" s="29"/>
      <c r="AE20" s="32"/>
      <c r="AF20" s="32"/>
    </row>
    <row r="21" spans="1:32" x14ac:dyDescent="0.2">
      <c r="A21" s="13">
        <v>10349</v>
      </c>
      <c r="B21" s="14" t="s">
        <v>14</v>
      </c>
      <c r="C21" s="58">
        <v>1487.328</v>
      </c>
      <c r="D21" s="12">
        <v>1500.941</v>
      </c>
      <c r="E21" s="12">
        <v>1526.402</v>
      </c>
      <c r="F21" s="12">
        <v>1754.454</v>
      </c>
      <c r="G21" s="12">
        <v>1648.7819999999999</v>
      </c>
      <c r="H21" s="12">
        <v>1537.4639999999999</v>
      </c>
      <c r="I21" s="12">
        <v>1300.5039999999999</v>
      </c>
      <c r="J21" s="12">
        <v>1093.6610000000001</v>
      </c>
      <c r="K21" s="12">
        <v>1128.1859999999999</v>
      </c>
      <c r="L21" s="12">
        <v>1276.972</v>
      </c>
      <c r="M21" s="12">
        <v>1290.357</v>
      </c>
      <c r="N21" s="15">
        <v>1197.941</v>
      </c>
      <c r="O21" s="58">
        <v>1284</v>
      </c>
      <c r="P21" s="12">
        <v>1469</v>
      </c>
      <c r="Q21" s="12">
        <v>1598</v>
      </c>
      <c r="R21" s="12">
        <v>1582</v>
      </c>
      <c r="S21" s="12">
        <v>1541</v>
      </c>
      <c r="T21" s="12">
        <v>1459</v>
      </c>
      <c r="U21" s="12">
        <v>1319</v>
      </c>
      <c r="V21" s="12">
        <v>1201</v>
      </c>
      <c r="W21" s="12">
        <v>1159</v>
      </c>
      <c r="X21" s="12">
        <v>1222</v>
      </c>
      <c r="Y21" s="12">
        <v>1213</v>
      </c>
      <c r="Z21" s="15">
        <v>1161</v>
      </c>
      <c r="AA21" s="10"/>
      <c r="AB21" s="19"/>
      <c r="AC21" s="29"/>
      <c r="AD21" s="29"/>
      <c r="AE21" s="32"/>
      <c r="AF21" s="32"/>
    </row>
    <row r="22" spans="1:32" s="7" customFormat="1" x14ac:dyDescent="0.2">
      <c r="A22" s="68">
        <v>10354</v>
      </c>
      <c r="B22" s="69" t="s">
        <v>15</v>
      </c>
      <c r="C22" s="67">
        <v>1152</v>
      </c>
      <c r="D22" s="51">
        <v>1212</v>
      </c>
      <c r="E22" s="51">
        <v>1230</v>
      </c>
      <c r="F22" s="51">
        <v>1364</v>
      </c>
      <c r="G22" s="51">
        <v>1280</v>
      </c>
      <c r="H22" s="51">
        <v>1186</v>
      </c>
      <c r="I22" s="51">
        <v>992</v>
      </c>
      <c r="J22" s="51">
        <v>811</v>
      </c>
      <c r="K22" s="51">
        <v>787</v>
      </c>
      <c r="L22" s="51">
        <v>938</v>
      </c>
      <c r="M22" s="51">
        <v>940</v>
      </c>
      <c r="N22" s="52">
        <v>874</v>
      </c>
      <c r="O22" s="67">
        <v>965</v>
      </c>
      <c r="P22" s="51">
        <v>1147</v>
      </c>
      <c r="Q22" s="51">
        <v>1242</v>
      </c>
      <c r="R22" s="51">
        <v>1291</v>
      </c>
      <c r="S22" s="51">
        <v>1205</v>
      </c>
      <c r="T22" s="51">
        <v>1143</v>
      </c>
      <c r="U22" s="51">
        <v>974</v>
      </c>
      <c r="V22" s="51">
        <v>838</v>
      </c>
      <c r="W22" s="51">
        <v>837</v>
      </c>
      <c r="X22" s="51">
        <v>875</v>
      </c>
      <c r="Y22" s="51">
        <v>937</v>
      </c>
      <c r="Z22" s="52">
        <v>837</v>
      </c>
      <c r="AA22" s="19"/>
      <c r="AB22" s="19"/>
      <c r="AC22" s="29"/>
      <c r="AD22" s="29"/>
      <c r="AE22" s="32"/>
      <c r="AF22" s="32"/>
    </row>
    <row r="23" spans="1:32" ht="13.5" thickBot="1" x14ac:dyDescent="0.25">
      <c r="A23" s="34">
        <v>10370</v>
      </c>
      <c r="B23" s="35" t="s">
        <v>16</v>
      </c>
      <c r="C23" s="36">
        <v>822</v>
      </c>
      <c r="D23" s="37">
        <v>815</v>
      </c>
      <c r="E23" s="37">
        <v>836</v>
      </c>
      <c r="F23" s="37">
        <v>896</v>
      </c>
      <c r="G23" s="37">
        <v>845</v>
      </c>
      <c r="H23" s="37">
        <v>824</v>
      </c>
      <c r="I23" s="37">
        <v>709</v>
      </c>
      <c r="J23" s="37">
        <v>592</v>
      </c>
      <c r="K23" s="37">
        <v>593</v>
      </c>
      <c r="L23" s="37">
        <v>668</v>
      </c>
      <c r="M23" s="37">
        <v>664</v>
      </c>
      <c r="N23" s="38">
        <v>637</v>
      </c>
      <c r="O23" s="36">
        <v>811</v>
      </c>
      <c r="P23" s="37">
        <v>864</v>
      </c>
      <c r="Q23" s="37">
        <v>909</v>
      </c>
      <c r="R23" s="37">
        <v>939</v>
      </c>
      <c r="S23" s="37">
        <v>892</v>
      </c>
      <c r="T23" s="37">
        <v>907</v>
      </c>
      <c r="U23" s="37">
        <v>814</v>
      </c>
      <c r="V23" s="37">
        <v>694</v>
      </c>
      <c r="W23" s="37">
        <v>609</v>
      </c>
      <c r="X23" s="37">
        <v>652</v>
      </c>
      <c r="Y23" s="37">
        <v>660</v>
      </c>
      <c r="Z23" s="38">
        <v>633</v>
      </c>
      <c r="AA23" s="10"/>
      <c r="AB23" s="19"/>
      <c r="AC23" s="29"/>
      <c r="AD23" s="29"/>
      <c r="AE23" s="32"/>
      <c r="AF23" s="32"/>
    </row>
    <row r="24" spans="1:32" x14ac:dyDescent="0.2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2" x14ac:dyDescent="0.2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32" x14ac:dyDescent="0.2">
      <c r="A26" s="3" t="s">
        <v>25</v>
      </c>
      <c r="L26" s="26"/>
      <c r="M26" s="26"/>
      <c r="N26" s="2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32" x14ac:dyDescent="0.2">
      <c r="A27" s="3" t="s">
        <v>23</v>
      </c>
      <c r="L27" s="26"/>
      <c r="M27" s="26"/>
      <c r="N27" s="2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32" x14ac:dyDescent="0.2">
      <c r="A28" s="3" t="s">
        <v>24</v>
      </c>
      <c r="L28" s="26"/>
      <c r="M28" s="26"/>
      <c r="N28" s="2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32" x14ac:dyDescent="0.2">
      <c r="A29" s="3" t="s">
        <v>19</v>
      </c>
      <c r="L29" s="26"/>
      <c r="M29" s="26"/>
      <c r="N29" s="2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32" x14ac:dyDescent="0.2">
      <c r="A30" s="3" t="s">
        <v>20</v>
      </c>
      <c r="L30" s="26"/>
      <c r="M30" s="26"/>
      <c r="N30" s="2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32" x14ac:dyDescent="0.2">
      <c r="A31" s="3" t="s">
        <v>21</v>
      </c>
      <c r="L31" s="26"/>
      <c r="M31" s="26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44" spans="15:26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5:26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5:26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5:26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5:26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5:26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5:26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5:26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5:26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5:26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5:26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5:26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5:26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5:26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5:26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5:26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5:26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5:26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</sheetData>
  <autoFilter ref="A7:AF23"/>
  <mergeCells count="4">
    <mergeCell ref="A5:A7"/>
    <mergeCell ref="C5:N5"/>
    <mergeCell ref="O5:Z5"/>
    <mergeCell ref="B5:B7"/>
  </mergeCells>
  <phoneticPr fontId="27" type="noConversion"/>
  <pageMargins left="0.75" right="0.75" top="1" bottom="1" header="0.5" footer="0.5"/>
  <pageSetup paperSize="5" scale="50" orientation="landscape" r:id="rId1"/>
  <headerFooter alignWithMargins="0"/>
  <colBreaks count="1" manualBreakCount="1">
    <brk id="1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zoomScaleNormal="100" workbookViewId="0">
      <pane xSplit="2" ySplit="7" topLeftCell="K8" activePane="bottomRight" state="frozen"/>
      <selection pane="topRight" activeCell="C1" sqref="C1"/>
      <selection pane="bottomLeft" activeCell="A8" sqref="A8"/>
      <selection pane="bottomRight" activeCell="AB12" sqref="AB12"/>
    </sheetView>
  </sheetViews>
  <sheetFormatPr defaultColWidth="9.140625" defaultRowHeight="12.75" x14ac:dyDescent="0.2"/>
  <cols>
    <col min="1" max="1" width="9.140625" style="3"/>
    <col min="2" max="2" width="22.28515625" style="3" bestFit="1" customWidth="1"/>
    <col min="3" max="26" width="10.7109375" style="3" customWidth="1"/>
    <col min="27" max="16384" width="9.140625" style="3"/>
  </cols>
  <sheetData>
    <row r="1" spans="1:26" ht="18.75" x14ac:dyDescent="0.3">
      <c r="A1" s="8" t="s">
        <v>28</v>
      </c>
      <c r="B1" s="1"/>
      <c r="C1" s="2"/>
      <c r="K1" s="6"/>
      <c r="M1" s="6"/>
      <c r="N1" s="7"/>
      <c r="O1" s="7"/>
    </row>
    <row r="2" spans="1:26" ht="15.75" x14ac:dyDescent="0.25">
      <c r="A2" s="40" t="str">
        <f>'TRL Energy'!A2</f>
        <v>Prepared by BPA, July 30, 2021</v>
      </c>
      <c r="B2" s="39"/>
      <c r="C2"/>
      <c r="D2"/>
      <c r="E2"/>
      <c r="F2"/>
      <c r="G2"/>
      <c r="H2"/>
      <c r="I2"/>
      <c r="J2"/>
      <c r="K2"/>
      <c r="L2"/>
      <c r="M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5" customFormat="1" x14ac:dyDescent="0.2">
      <c r="A3" s="39"/>
      <c r="B3" s="3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 x14ac:dyDescent="0.25">
      <c r="A4" s="39"/>
      <c r="B4" s="39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20" customFormat="1" ht="13.5" thickBot="1" x14ac:dyDescent="0.25">
      <c r="A5" s="112" t="s">
        <v>0</v>
      </c>
      <c r="B5" s="112" t="s">
        <v>22</v>
      </c>
      <c r="C5" s="109" t="s">
        <v>29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06" t="s">
        <v>36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</row>
    <row r="6" spans="1:26" s="20" customFormat="1" x14ac:dyDescent="0.2">
      <c r="A6" s="113"/>
      <c r="B6" s="113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26" s="20" customFormat="1" ht="13.5" thickBot="1" x14ac:dyDescent="0.25">
      <c r="A7" s="113"/>
      <c r="B7" s="114"/>
      <c r="C7" s="48" t="s">
        <v>1</v>
      </c>
      <c r="D7" s="49" t="s">
        <v>1</v>
      </c>
      <c r="E7" s="49" t="s">
        <v>1</v>
      </c>
      <c r="F7" s="49" t="s">
        <v>1</v>
      </c>
      <c r="G7" s="49" t="s">
        <v>1</v>
      </c>
      <c r="H7" s="49" t="s">
        <v>1</v>
      </c>
      <c r="I7" s="49" t="s">
        <v>1</v>
      </c>
      <c r="J7" s="49" t="s">
        <v>1</v>
      </c>
      <c r="K7" s="49" t="s">
        <v>1</v>
      </c>
      <c r="L7" s="49" t="s">
        <v>1</v>
      </c>
      <c r="M7" s="49" t="s">
        <v>1</v>
      </c>
      <c r="N7" s="50" t="s">
        <v>1</v>
      </c>
      <c r="O7" s="48" t="s">
        <v>1</v>
      </c>
      <c r="P7" s="49" t="s">
        <v>1</v>
      </c>
      <c r="Q7" s="49" t="s">
        <v>1</v>
      </c>
      <c r="R7" s="49" t="s">
        <v>1</v>
      </c>
      <c r="S7" s="49" t="s">
        <v>1</v>
      </c>
      <c r="T7" s="49" t="s">
        <v>1</v>
      </c>
      <c r="U7" s="49" t="s">
        <v>1</v>
      </c>
      <c r="V7" s="49" t="s">
        <v>1</v>
      </c>
      <c r="W7" s="49" t="s">
        <v>1</v>
      </c>
      <c r="X7" s="49" t="s">
        <v>1</v>
      </c>
      <c r="Y7" s="49" t="s">
        <v>1</v>
      </c>
      <c r="Z7" s="50" t="s">
        <v>1</v>
      </c>
    </row>
    <row r="8" spans="1:26" x14ac:dyDescent="0.2">
      <c r="A8" s="46">
        <v>10024</v>
      </c>
      <c r="B8" s="70" t="s">
        <v>2</v>
      </c>
      <c r="C8" s="53">
        <v>6238</v>
      </c>
      <c r="D8" s="61">
        <v>6096</v>
      </c>
      <c r="E8" s="61">
        <v>6686</v>
      </c>
      <c r="F8" s="61">
        <v>6447</v>
      </c>
      <c r="G8" s="61">
        <v>5904</v>
      </c>
      <c r="H8" s="61">
        <v>6240</v>
      </c>
      <c r="I8" s="61">
        <v>6199</v>
      </c>
      <c r="J8" s="61">
        <v>7030</v>
      </c>
      <c r="K8" s="61">
        <v>6763</v>
      </c>
      <c r="L8" s="61">
        <v>6572</v>
      </c>
      <c r="M8" s="61">
        <v>6353</v>
      </c>
      <c r="N8" s="63">
        <v>6027</v>
      </c>
      <c r="O8" s="60">
        <v>12672</v>
      </c>
      <c r="P8" s="61">
        <v>12331</v>
      </c>
      <c r="Q8" s="61">
        <v>13120</v>
      </c>
      <c r="R8" s="61">
        <v>12881</v>
      </c>
      <c r="S8" s="61">
        <v>11512</v>
      </c>
      <c r="T8" s="61">
        <v>12666</v>
      </c>
      <c r="U8" s="61">
        <v>12425</v>
      </c>
      <c r="V8" s="61">
        <v>13464</v>
      </c>
      <c r="W8" s="61">
        <v>12989</v>
      </c>
      <c r="X8" s="61">
        <v>13006</v>
      </c>
      <c r="Y8" s="61">
        <v>12787</v>
      </c>
      <c r="Z8" s="62">
        <v>12253</v>
      </c>
    </row>
    <row r="9" spans="1:26" s="7" customFormat="1" x14ac:dyDescent="0.2">
      <c r="A9" s="13">
        <v>10103</v>
      </c>
      <c r="B9" s="71" t="s">
        <v>3</v>
      </c>
      <c r="C9" s="54">
        <v>179122</v>
      </c>
      <c r="D9" s="12">
        <v>173650</v>
      </c>
      <c r="E9" s="12">
        <v>179698</v>
      </c>
      <c r="F9" s="12">
        <v>179390</v>
      </c>
      <c r="G9" s="12">
        <v>167654</v>
      </c>
      <c r="H9" s="12">
        <v>178895</v>
      </c>
      <c r="I9" s="12">
        <v>173552</v>
      </c>
      <c r="J9" s="12">
        <v>83420</v>
      </c>
      <c r="K9" s="12">
        <v>159877</v>
      </c>
      <c r="L9" s="12">
        <v>168391</v>
      </c>
      <c r="M9" s="12">
        <v>168110</v>
      </c>
      <c r="N9" s="64">
        <v>173331</v>
      </c>
      <c r="O9" s="58">
        <v>191890</v>
      </c>
      <c r="P9" s="12">
        <v>186023</v>
      </c>
      <c r="Q9" s="12">
        <v>192466</v>
      </c>
      <c r="R9" s="12">
        <v>192158</v>
      </c>
      <c r="S9" s="12">
        <v>173405</v>
      </c>
      <c r="T9" s="12">
        <v>191646</v>
      </c>
      <c r="U9" s="12">
        <v>185908</v>
      </c>
      <c r="V9" s="12">
        <v>96188</v>
      </c>
      <c r="W9" s="12">
        <v>172233</v>
      </c>
      <c r="X9" s="12">
        <v>181159</v>
      </c>
      <c r="Y9" s="12">
        <v>180878</v>
      </c>
      <c r="Z9" s="15">
        <v>185687</v>
      </c>
    </row>
    <row r="10" spans="1:26" x14ac:dyDescent="0.2">
      <c r="A10" s="68">
        <v>10105</v>
      </c>
      <c r="B10" s="72" t="s">
        <v>4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92">
        <v>0</v>
      </c>
    </row>
    <row r="11" spans="1:26" s="7" customFormat="1" x14ac:dyDescent="0.2">
      <c r="A11" s="13">
        <v>10123</v>
      </c>
      <c r="B11" s="71" t="s">
        <v>5</v>
      </c>
      <c r="C11" s="54">
        <v>26854</v>
      </c>
      <c r="D11" s="12">
        <v>34889</v>
      </c>
      <c r="E11" s="12">
        <v>38572</v>
      </c>
      <c r="F11" s="12">
        <v>38019</v>
      </c>
      <c r="G11" s="12">
        <v>28615</v>
      </c>
      <c r="H11" s="12">
        <v>34508</v>
      </c>
      <c r="I11" s="12">
        <v>31330</v>
      </c>
      <c r="J11" s="12">
        <v>31140</v>
      </c>
      <c r="K11" s="12">
        <v>28655</v>
      </c>
      <c r="L11" s="12">
        <v>23917</v>
      </c>
      <c r="M11" s="12">
        <v>21907</v>
      </c>
      <c r="N11" s="64">
        <v>22000</v>
      </c>
      <c r="O11" s="58">
        <v>26114</v>
      </c>
      <c r="P11" s="12">
        <v>34169</v>
      </c>
      <c r="Q11" s="12">
        <v>37825</v>
      </c>
      <c r="R11" s="12">
        <v>37278</v>
      </c>
      <c r="S11" s="12">
        <v>33004</v>
      </c>
      <c r="T11" s="12">
        <v>33761</v>
      </c>
      <c r="U11" s="12">
        <v>30610</v>
      </c>
      <c r="V11" s="12">
        <v>30396</v>
      </c>
      <c r="W11" s="12">
        <v>27935</v>
      </c>
      <c r="X11" s="12">
        <v>23176</v>
      </c>
      <c r="Y11" s="12">
        <v>21160</v>
      </c>
      <c r="Z11" s="15">
        <v>21280</v>
      </c>
    </row>
    <row r="12" spans="1:26" x14ac:dyDescent="0.2">
      <c r="A12" s="68">
        <v>10157</v>
      </c>
      <c r="B12" s="72" t="s">
        <v>6</v>
      </c>
      <c r="C12" s="55">
        <v>31556.087000000007</v>
      </c>
      <c r="D12" s="51">
        <v>31232.112000000005</v>
      </c>
      <c r="E12" s="51">
        <v>32799.941000000006</v>
      </c>
      <c r="F12" s="51">
        <v>32884.287000000011</v>
      </c>
      <c r="G12" s="51">
        <v>31528.790000000008</v>
      </c>
      <c r="H12" s="51">
        <v>31288.992000000006</v>
      </c>
      <c r="I12" s="51">
        <v>32177.729000000007</v>
      </c>
      <c r="J12" s="51">
        <v>31337.53000000001</v>
      </c>
      <c r="K12" s="51">
        <v>30858.518000000007</v>
      </c>
      <c r="L12" s="51">
        <v>32493.625000000007</v>
      </c>
      <c r="M12" s="51">
        <v>32737.293000000009</v>
      </c>
      <c r="N12" s="65">
        <v>31276.864000000001</v>
      </c>
      <c r="O12" s="67">
        <v>37856.717000000004</v>
      </c>
      <c r="P12" s="51">
        <v>46223.669000000002</v>
      </c>
      <c r="Q12" s="51">
        <v>50109.187000000005</v>
      </c>
      <c r="R12" s="51">
        <v>49868.853000000003</v>
      </c>
      <c r="S12" s="51">
        <v>44530.066999999995</v>
      </c>
      <c r="T12" s="51">
        <v>43749.285000000003</v>
      </c>
      <c r="U12" s="51">
        <v>42275.559000000001</v>
      </c>
      <c r="V12" s="51">
        <v>42351.517</v>
      </c>
      <c r="W12" s="51">
        <v>39502.686000000002</v>
      </c>
      <c r="X12" s="51">
        <v>35660.536999999997</v>
      </c>
      <c r="Y12" s="51">
        <v>33569.567999999999</v>
      </c>
      <c r="Z12" s="52">
        <v>30464.682999999997</v>
      </c>
    </row>
    <row r="13" spans="1:26" s="7" customFormat="1" x14ac:dyDescent="0.2">
      <c r="A13" s="13">
        <v>10170</v>
      </c>
      <c r="B13" s="71" t="s">
        <v>7</v>
      </c>
      <c r="C13" s="54">
        <v>27139</v>
      </c>
      <c r="D13" s="12">
        <v>35107</v>
      </c>
      <c r="E13" s="12">
        <v>36939</v>
      </c>
      <c r="F13" s="12">
        <v>35428</v>
      </c>
      <c r="G13" s="12">
        <v>27857</v>
      </c>
      <c r="H13" s="12">
        <v>26214</v>
      </c>
      <c r="I13" s="12">
        <v>30837</v>
      </c>
      <c r="J13" s="12">
        <v>54301</v>
      </c>
      <c r="K13" s="12">
        <v>44189</v>
      </c>
      <c r="L13" s="12">
        <v>24481</v>
      </c>
      <c r="M13" s="12">
        <v>16451</v>
      </c>
      <c r="N13" s="64">
        <v>22111</v>
      </c>
      <c r="O13" s="58">
        <v>27142</v>
      </c>
      <c r="P13" s="12">
        <v>35108</v>
      </c>
      <c r="Q13" s="12">
        <v>36937</v>
      </c>
      <c r="R13" s="12">
        <v>35429</v>
      </c>
      <c r="S13" s="12">
        <v>26896</v>
      </c>
      <c r="T13" s="12">
        <v>26211</v>
      </c>
      <c r="U13" s="12">
        <v>30837</v>
      </c>
      <c r="V13" s="12">
        <v>54301</v>
      </c>
      <c r="W13" s="12">
        <v>44189</v>
      </c>
      <c r="X13" s="12">
        <v>24483</v>
      </c>
      <c r="Y13" s="12">
        <v>16449</v>
      </c>
      <c r="Z13" s="15">
        <v>22111</v>
      </c>
    </row>
    <row r="14" spans="1:26" x14ac:dyDescent="0.2">
      <c r="A14" s="68">
        <v>10183</v>
      </c>
      <c r="B14" s="72" t="s">
        <v>8</v>
      </c>
      <c r="C14" s="55">
        <v>6403</v>
      </c>
      <c r="D14" s="51">
        <v>6243</v>
      </c>
      <c r="E14" s="51">
        <v>6739</v>
      </c>
      <c r="F14" s="51">
        <v>6559</v>
      </c>
      <c r="G14" s="51">
        <v>6041</v>
      </c>
      <c r="H14" s="51">
        <v>6403</v>
      </c>
      <c r="I14" s="51">
        <v>6317</v>
      </c>
      <c r="J14" s="51">
        <v>6997</v>
      </c>
      <c r="K14" s="51">
        <v>6741</v>
      </c>
      <c r="L14" s="51">
        <v>6653</v>
      </c>
      <c r="M14" s="51">
        <v>6489</v>
      </c>
      <c r="N14" s="65">
        <v>6189</v>
      </c>
      <c r="O14" s="67">
        <v>328</v>
      </c>
      <c r="P14" s="51">
        <v>356</v>
      </c>
      <c r="Q14" s="51">
        <v>664</v>
      </c>
      <c r="R14" s="51">
        <v>484</v>
      </c>
      <c r="S14" s="51">
        <v>346</v>
      </c>
      <c r="T14" s="51">
        <v>336</v>
      </c>
      <c r="U14" s="51">
        <v>438</v>
      </c>
      <c r="V14" s="51">
        <v>922</v>
      </c>
      <c r="W14" s="51">
        <v>862</v>
      </c>
      <c r="X14" s="51">
        <v>578</v>
      </c>
      <c r="Y14" s="51">
        <v>414</v>
      </c>
      <c r="Z14" s="52">
        <v>310</v>
      </c>
    </row>
    <row r="15" spans="1:26" s="7" customFormat="1" x14ac:dyDescent="0.2">
      <c r="A15" s="13">
        <v>10191</v>
      </c>
      <c r="B15" s="71" t="s">
        <v>9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8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5">
        <v>0</v>
      </c>
    </row>
    <row r="16" spans="1:26" x14ac:dyDescent="0.2">
      <c r="A16" s="68">
        <v>10204</v>
      </c>
      <c r="B16" s="72" t="s">
        <v>10</v>
      </c>
      <c r="C16" s="55">
        <v>12222</v>
      </c>
      <c r="D16" s="51">
        <v>14254</v>
      </c>
      <c r="E16" s="51">
        <v>22070</v>
      </c>
      <c r="F16" s="51">
        <v>21063</v>
      </c>
      <c r="G16" s="51">
        <v>19159</v>
      </c>
      <c r="H16" s="51">
        <v>15882</v>
      </c>
      <c r="I16" s="51">
        <v>12580</v>
      </c>
      <c r="J16" s="51">
        <v>3860</v>
      </c>
      <c r="K16" s="51">
        <v>3172</v>
      </c>
      <c r="L16" s="51">
        <v>6336</v>
      </c>
      <c r="M16" s="51">
        <v>9869</v>
      </c>
      <c r="N16" s="65">
        <v>11935</v>
      </c>
      <c r="O16" s="67">
        <v>12222</v>
      </c>
      <c r="P16" s="51">
        <v>14254</v>
      </c>
      <c r="Q16" s="51">
        <v>22070</v>
      </c>
      <c r="R16" s="51">
        <v>21063</v>
      </c>
      <c r="S16" s="51">
        <v>18498</v>
      </c>
      <c r="T16" s="51">
        <v>15882</v>
      </c>
      <c r="U16" s="51">
        <v>12580</v>
      </c>
      <c r="V16" s="51">
        <v>3860</v>
      </c>
      <c r="W16" s="51">
        <v>3172</v>
      </c>
      <c r="X16" s="51">
        <v>6336</v>
      </c>
      <c r="Y16" s="51">
        <v>9869</v>
      </c>
      <c r="Z16" s="52">
        <v>11935</v>
      </c>
    </row>
    <row r="17" spans="1:26" x14ac:dyDescent="0.2">
      <c r="A17" s="13">
        <v>10237</v>
      </c>
      <c r="B17" s="71" t="s">
        <v>11</v>
      </c>
      <c r="C17" s="54">
        <v>489</v>
      </c>
      <c r="D17" s="12">
        <v>546</v>
      </c>
      <c r="E17" s="12">
        <v>1050</v>
      </c>
      <c r="F17" s="12">
        <v>1036</v>
      </c>
      <c r="G17" s="12">
        <v>717</v>
      </c>
      <c r="H17" s="12">
        <v>703</v>
      </c>
      <c r="I17" s="12">
        <v>1029</v>
      </c>
      <c r="J17" s="12">
        <v>1672</v>
      </c>
      <c r="K17" s="12">
        <v>1388</v>
      </c>
      <c r="L17" s="12">
        <v>834</v>
      </c>
      <c r="M17" s="12">
        <v>562</v>
      </c>
      <c r="N17" s="64">
        <v>420</v>
      </c>
      <c r="O17" s="58">
        <v>2215</v>
      </c>
      <c r="P17" s="12">
        <v>2219</v>
      </c>
      <c r="Q17" s="12">
        <v>2776</v>
      </c>
      <c r="R17" s="12">
        <v>2762</v>
      </c>
      <c r="S17" s="12">
        <v>2251</v>
      </c>
      <c r="T17" s="12">
        <v>2427</v>
      </c>
      <c r="U17" s="12">
        <v>2699</v>
      </c>
      <c r="V17" s="12">
        <v>3398</v>
      </c>
      <c r="W17" s="12">
        <v>3058</v>
      </c>
      <c r="X17" s="12">
        <v>2560</v>
      </c>
      <c r="Y17" s="12">
        <v>2288</v>
      </c>
      <c r="Z17" s="15">
        <v>2090</v>
      </c>
    </row>
    <row r="18" spans="1:26" x14ac:dyDescent="0.2">
      <c r="A18" s="68">
        <v>10286</v>
      </c>
      <c r="B18" s="72" t="s">
        <v>30</v>
      </c>
      <c r="C18" s="55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65">
        <v>0</v>
      </c>
      <c r="O18" s="67">
        <v>20171</v>
      </c>
      <c r="P18" s="51">
        <v>21454</v>
      </c>
      <c r="Q18" s="51">
        <v>25887</v>
      </c>
      <c r="R18" s="51">
        <v>22399</v>
      </c>
      <c r="S18" s="51">
        <v>17109</v>
      </c>
      <c r="T18" s="51">
        <v>16008</v>
      </c>
      <c r="U18" s="51">
        <v>14950</v>
      </c>
      <c r="V18" s="51">
        <v>23139</v>
      </c>
      <c r="W18" s="51">
        <v>26691</v>
      </c>
      <c r="X18" s="51">
        <v>27269</v>
      </c>
      <c r="Y18" s="51">
        <v>28026</v>
      </c>
      <c r="Z18" s="52">
        <v>17864</v>
      </c>
    </row>
    <row r="19" spans="1:26" ht="15" x14ac:dyDescent="0.2">
      <c r="A19" s="13">
        <v>10294</v>
      </c>
      <c r="B19" s="71" t="s">
        <v>12</v>
      </c>
      <c r="C19" s="85">
        <v>475</v>
      </c>
      <c r="D19" s="85">
        <v>461</v>
      </c>
      <c r="E19" s="85">
        <v>475</v>
      </c>
      <c r="F19" s="85">
        <v>475</v>
      </c>
      <c r="G19" s="85">
        <v>445</v>
      </c>
      <c r="H19" s="85">
        <v>475</v>
      </c>
      <c r="I19" s="85">
        <v>460</v>
      </c>
      <c r="J19" s="85">
        <v>475</v>
      </c>
      <c r="K19" s="85">
        <v>460</v>
      </c>
      <c r="L19" s="85">
        <v>475</v>
      </c>
      <c r="M19" s="85">
        <v>475</v>
      </c>
      <c r="N19" s="85">
        <v>460</v>
      </c>
      <c r="O19" s="58">
        <v>2817</v>
      </c>
      <c r="P19" s="12">
        <v>2730</v>
      </c>
      <c r="Q19" s="12">
        <v>2817</v>
      </c>
      <c r="R19" s="12">
        <v>2817</v>
      </c>
      <c r="S19" s="12">
        <v>2544</v>
      </c>
      <c r="T19" s="12">
        <v>2813</v>
      </c>
      <c r="U19" s="12">
        <v>2726</v>
      </c>
      <c r="V19" s="12">
        <v>2817</v>
      </c>
      <c r="W19" s="12">
        <v>2726</v>
      </c>
      <c r="X19" s="12">
        <v>2817</v>
      </c>
      <c r="Y19" s="12">
        <v>2817</v>
      </c>
      <c r="Z19" s="15">
        <v>2726</v>
      </c>
    </row>
    <row r="20" spans="1:26" s="7" customFormat="1" x14ac:dyDescent="0.2">
      <c r="A20" s="68">
        <v>10306</v>
      </c>
      <c r="B20" s="72" t="s">
        <v>13</v>
      </c>
      <c r="C20" s="55">
        <v>72838</v>
      </c>
      <c r="D20" s="51">
        <v>52813</v>
      </c>
      <c r="E20" s="51">
        <v>64854</v>
      </c>
      <c r="F20" s="51">
        <v>53982</v>
      </c>
      <c r="G20" s="51">
        <v>47158</v>
      </c>
      <c r="H20" s="51">
        <v>49791</v>
      </c>
      <c r="I20" s="51">
        <v>74740</v>
      </c>
      <c r="J20" s="51">
        <v>85603</v>
      </c>
      <c r="K20" s="51">
        <v>79456</v>
      </c>
      <c r="L20" s="51">
        <v>66034</v>
      </c>
      <c r="M20" s="51">
        <v>64803</v>
      </c>
      <c r="N20" s="65">
        <v>55711</v>
      </c>
      <c r="O20" s="67">
        <v>74298</v>
      </c>
      <c r="P20" s="51">
        <v>60675.66</v>
      </c>
      <c r="Q20" s="51">
        <v>69654.97</v>
      </c>
      <c r="R20" s="51">
        <v>90284.66</v>
      </c>
      <c r="S20" s="51">
        <v>81346.100000000006</v>
      </c>
      <c r="T20" s="51">
        <v>89941.4</v>
      </c>
      <c r="U20" s="51">
        <v>88200.47</v>
      </c>
      <c r="V20" s="51">
        <v>95213.21</v>
      </c>
      <c r="W20" s="51">
        <v>91127.75</v>
      </c>
      <c r="X20" s="51">
        <v>90879.66</v>
      </c>
      <c r="Y20" s="51">
        <v>90688.66</v>
      </c>
      <c r="Z20" s="52">
        <v>87444.47</v>
      </c>
    </row>
    <row r="21" spans="1:26" x14ac:dyDescent="0.2">
      <c r="A21" s="13">
        <v>10349</v>
      </c>
      <c r="B21" s="71" t="s">
        <v>14</v>
      </c>
      <c r="C21" s="54">
        <v>447930</v>
      </c>
      <c r="D21" s="12">
        <v>309748</v>
      </c>
      <c r="E21" s="12">
        <v>405347</v>
      </c>
      <c r="F21" s="12">
        <v>331246</v>
      </c>
      <c r="G21" s="12">
        <v>279107</v>
      </c>
      <c r="H21" s="12">
        <v>291583</v>
      </c>
      <c r="I21" s="12">
        <v>510857</v>
      </c>
      <c r="J21" s="12">
        <v>672956</v>
      </c>
      <c r="K21" s="12">
        <v>780209</v>
      </c>
      <c r="L21" s="12">
        <v>544784</v>
      </c>
      <c r="M21" s="12">
        <v>498621</v>
      </c>
      <c r="N21" s="64">
        <v>329637</v>
      </c>
      <c r="O21" s="58">
        <v>447935</v>
      </c>
      <c r="P21" s="12">
        <v>309749</v>
      </c>
      <c r="Q21" s="12">
        <v>405343</v>
      </c>
      <c r="R21" s="12">
        <v>331250</v>
      </c>
      <c r="S21" s="12">
        <v>270017</v>
      </c>
      <c r="T21" s="12">
        <v>291577</v>
      </c>
      <c r="U21" s="12">
        <v>510857</v>
      </c>
      <c r="V21" s="12">
        <v>672952</v>
      </c>
      <c r="W21" s="12">
        <v>780207</v>
      </c>
      <c r="X21" s="12">
        <v>544786</v>
      </c>
      <c r="Y21" s="12">
        <v>498615</v>
      </c>
      <c r="Z21" s="15">
        <v>328629</v>
      </c>
    </row>
    <row r="22" spans="1:26" s="7" customFormat="1" x14ac:dyDescent="0.2">
      <c r="A22" s="68">
        <v>10354</v>
      </c>
      <c r="B22" s="72" t="s">
        <v>15</v>
      </c>
      <c r="C22" s="55">
        <v>18183</v>
      </c>
      <c r="D22" s="51">
        <v>31046</v>
      </c>
      <c r="E22" s="51">
        <v>42991</v>
      </c>
      <c r="F22" s="51">
        <v>35017</v>
      </c>
      <c r="G22" s="51">
        <v>24983</v>
      </c>
      <c r="H22" s="51">
        <v>20460</v>
      </c>
      <c r="I22" s="51">
        <v>18569</v>
      </c>
      <c r="J22" s="51">
        <v>20058</v>
      </c>
      <c r="K22" s="51">
        <v>15466</v>
      </c>
      <c r="L22" s="51">
        <v>15237</v>
      </c>
      <c r="M22" s="51">
        <v>14776</v>
      </c>
      <c r="N22" s="65">
        <v>14126</v>
      </c>
      <c r="O22" s="67">
        <v>18183</v>
      </c>
      <c r="P22" s="51">
        <v>31046</v>
      </c>
      <c r="Q22" s="51">
        <v>42991</v>
      </c>
      <c r="R22" s="51">
        <v>35017</v>
      </c>
      <c r="S22" s="51">
        <v>24125</v>
      </c>
      <c r="T22" s="51">
        <v>20460</v>
      </c>
      <c r="U22" s="51">
        <v>18569</v>
      </c>
      <c r="V22" s="51">
        <v>20058</v>
      </c>
      <c r="W22" s="51">
        <v>15466</v>
      </c>
      <c r="X22" s="51">
        <v>15237</v>
      </c>
      <c r="Y22" s="51">
        <v>14776</v>
      </c>
      <c r="Z22" s="52">
        <v>14126</v>
      </c>
    </row>
    <row r="23" spans="1:26" ht="13.5" thickBot="1" x14ac:dyDescent="0.25">
      <c r="A23" s="34">
        <v>10370</v>
      </c>
      <c r="B23" s="73" t="s">
        <v>16</v>
      </c>
      <c r="C23" s="56">
        <v>171727</v>
      </c>
      <c r="D23" s="37">
        <v>159676</v>
      </c>
      <c r="E23" s="37">
        <v>158822</v>
      </c>
      <c r="F23" s="37">
        <v>164208</v>
      </c>
      <c r="G23" s="37">
        <v>137287</v>
      </c>
      <c r="H23" s="37">
        <v>107467</v>
      </c>
      <c r="I23" s="37">
        <v>105601</v>
      </c>
      <c r="J23" s="37">
        <v>111473</v>
      </c>
      <c r="K23" s="37">
        <v>110446</v>
      </c>
      <c r="L23" s="37">
        <v>103642</v>
      </c>
      <c r="M23" s="37">
        <v>123340</v>
      </c>
      <c r="N23" s="66">
        <v>114060</v>
      </c>
      <c r="O23" s="36">
        <v>174195</v>
      </c>
      <c r="P23" s="37">
        <v>162139</v>
      </c>
      <c r="Q23" s="37">
        <v>161279</v>
      </c>
      <c r="R23" s="37">
        <v>166675</v>
      </c>
      <c r="S23" s="37">
        <v>135014</v>
      </c>
      <c r="T23" s="37">
        <v>109923</v>
      </c>
      <c r="U23" s="37">
        <v>108063</v>
      </c>
      <c r="V23" s="37">
        <v>113935</v>
      </c>
      <c r="W23" s="37">
        <v>112908</v>
      </c>
      <c r="X23" s="37">
        <v>106109</v>
      </c>
      <c r="Y23" s="37">
        <v>125797</v>
      </c>
      <c r="Z23" s="38">
        <v>116522</v>
      </c>
    </row>
    <row r="25" spans="1:26" x14ac:dyDescent="0.2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3.5" x14ac:dyDescent="0.2">
      <c r="A26" s="3" t="s">
        <v>25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24"/>
      <c r="Y26" s="24"/>
      <c r="Z26" s="24"/>
    </row>
    <row r="27" spans="1:26" x14ac:dyDescent="0.2">
      <c r="A27" s="3" t="s">
        <v>23</v>
      </c>
      <c r="L27" s="84"/>
      <c r="M27" s="25"/>
      <c r="N27" s="2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">
      <c r="A28" s="3" t="s">
        <v>24</v>
      </c>
      <c r="L28" s="84"/>
      <c r="M28" s="25"/>
      <c r="N28" s="2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">
      <c r="A29" s="3" t="s">
        <v>19</v>
      </c>
      <c r="L29" s="84"/>
      <c r="M29" s="25"/>
      <c r="N29" s="2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">
      <c r="A30" s="3" t="s">
        <v>20</v>
      </c>
      <c r="L30" s="84"/>
      <c r="M30" s="25"/>
      <c r="N30" s="2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">
      <c r="A31" s="3" t="s">
        <v>21</v>
      </c>
      <c r="L31" s="84"/>
      <c r="M31" s="25"/>
      <c r="N31" s="2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">
      <c r="C32" s="9"/>
      <c r="D32" s="9"/>
      <c r="E32" s="9"/>
      <c r="F32" s="9"/>
      <c r="G32" s="9"/>
      <c r="H32" s="9"/>
      <c r="I32" s="9"/>
      <c r="J32" s="9"/>
      <c r="K32" s="9"/>
      <c r="L32" s="84"/>
      <c r="M32" s="84"/>
      <c r="N32" s="8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3:26" x14ac:dyDescent="0.2">
      <c r="C33" s="9"/>
      <c r="D33" s="9"/>
      <c r="E33" s="9"/>
      <c r="F33" s="9"/>
      <c r="G33" s="9"/>
      <c r="H33" s="9"/>
      <c r="I33" s="9"/>
      <c r="J33" s="9"/>
      <c r="K33" s="9"/>
      <c r="L33" s="84"/>
      <c r="M33" s="84"/>
      <c r="N33" s="8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3:26" x14ac:dyDescent="0.2">
      <c r="C34" s="9"/>
      <c r="D34" s="9"/>
      <c r="E34" s="9"/>
      <c r="F34" s="9"/>
      <c r="G34" s="9"/>
      <c r="H34" s="9"/>
      <c r="I34" s="9"/>
      <c r="J34" s="9"/>
      <c r="K34" s="9"/>
      <c r="L34" s="84"/>
      <c r="M34" s="84"/>
      <c r="N34" s="8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3:26" x14ac:dyDescent="0.2">
      <c r="C35" s="9"/>
      <c r="D35" s="9"/>
      <c r="E35" s="9"/>
      <c r="F35" s="9"/>
      <c r="G35" s="9"/>
      <c r="H35" s="9"/>
      <c r="I35" s="9"/>
      <c r="J35" s="9"/>
      <c r="K35" s="9"/>
      <c r="L35" s="84"/>
      <c r="M35" s="84"/>
      <c r="N35" s="8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3:26" x14ac:dyDescent="0.2">
      <c r="C36" s="9"/>
      <c r="D36" s="9"/>
      <c r="E36" s="9"/>
      <c r="F36" s="9"/>
      <c r="G36" s="9"/>
      <c r="H36" s="9"/>
      <c r="I36" s="9"/>
      <c r="J36" s="9"/>
      <c r="K36" s="9"/>
      <c r="L36" s="84"/>
      <c r="M36" s="84"/>
      <c r="N36" s="8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x14ac:dyDescent="0.2">
      <c r="C37" s="9"/>
      <c r="D37" s="9"/>
      <c r="E37" s="9"/>
      <c r="F37" s="9"/>
      <c r="G37" s="9"/>
      <c r="H37" s="9"/>
      <c r="I37" s="9"/>
      <c r="J37" s="9"/>
      <c r="K37" s="9"/>
      <c r="L37" s="84"/>
      <c r="M37" s="84"/>
      <c r="N37" s="84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x14ac:dyDescent="0.2">
      <c r="C38" s="9"/>
      <c r="D38" s="9"/>
      <c r="E38" s="9"/>
      <c r="F38" s="9"/>
      <c r="G38" s="9"/>
      <c r="H38" s="9"/>
      <c r="I38" s="9"/>
      <c r="J38" s="9"/>
      <c r="K38" s="9"/>
      <c r="L38" s="84"/>
      <c r="M38" s="84"/>
      <c r="N38" s="8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x14ac:dyDescent="0.2">
      <c r="C39" s="9"/>
      <c r="D39" s="9"/>
      <c r="E39" s="9"/>
      <c r="F39" s="9"/>
      <c r="G39" s="9"/>
      <c r="H39" s="9"/>
      <c r="I39" s="9"/>
      <c r="J39" s="9"/>
      <c r="K39" s="9"/>
      <c r="L39" s="84"/>
      <c r="M39" s="84"/>
      <c r="N39" s="8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x14ac:dyDescent="0.2">
      <c r="C40" s="9"/>
      <c r="D40" s="9"/>
      <c r="E40" s="9"/>
      <c r="F40" s="9"/>
      <c r="G40" s="9"/>
      <c r="H40" s="9"/>
      <c r="I40" s="9"/>
      <c r="J40" s="9"/>
      <c r="K40" s="9"/>
      <c r="L40" s="84"/>
      <c r="M40" s="84"/>
      <c r="N40" s="8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x14ac:dyDescent="0.2">
      <c r="C41" s="9"/>
      <c r="D41" s="9"/>
      <c r="E41" s="9"/>
      <c r="F41" s="9"/>
      <c r="G41" s="9"/>
      <c r="H41" s="9"/>
      <c r="I41" s="9"/>
      <c r="J41" s="9"/>
      <c r="K41" s="9"/>
      <c r="L41" s="84"/>
      <c r="M41" s="84"/>
      <c r="N41" s="8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x14ac:dyDescent="0.2">
      <c r="C42" s="9"/>
      <c r="D42" s="9"/>
      <c r="E42" s="9"/>
      <c r="F42" s="9"/>
      <c r="G42" s="9"/>
      <c r="H42" s="9"/>
      <c r="I42" s="9"/>
      <c r="J42" s="9"/>
      <c r="K42" s="9"/>
      <c r="L42" s="84"/>
      <c r="M42" s="84"/>
      <c r="N42" s="84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x14ac:dyDescent="0.2">
      <c r="C43" s="9"/>
      <c r="D43" s="9"/>
      <c r="E43" s="9"/>
      <c r="F43" s="9"/>
      <c r="G43" s="9"/>
      <c r="H43" s="9"/>
      <c r="I43" s="9"/>
      <c r="J43" s="9"/>
      <c r="K43" s="9"/>
      <c r="L43" s="84"/>
      <c r="M43" s="84"/>
      <c r="N43" s="84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x14ac:dyDescent="0.2">
      <c r="C44" s="9"/>
      <c r="D44" s="9"/>
      <c r="E44" s="9"/>
      <c r="F44" s="9"/>
      <c r="G44" s="9"/>
      <c r="H44" s="9"/>
      <c r="I44" s="9"/>
      <c r="J44" s="9"/>
      <c r="K44" s="9"/>
      <c r="L44" s="84"/>
      <c r="M44" s="84"/>
      <c r="N44" s="84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26" x14ac:dyDescent="0.2">
      <c r="C45" s="9"/>
      <c r="D45" s="9"/>
      <c r="E45" s="9"/>
      <c r="F45" s="9"/>
      <c r="G45" s="9"/>
      <c r="H45" s="9"/>
      <c r="I45" s="9"/>
      <c r="J45" s="9"/>
      <c r="K45" s="9"/>
      <c r="L45" s="84"/>
      <c r="M45" s="84"/>
      <c r="N45" s="8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3:26" x14ac:dyDescent="0.2">
      <c r="C46" s="9"/>
      <c r="D46" s="9"/>
      <c r="E46" s="9"/>
      <c r="F46" s="9"/>
      <c r="G46" s="9"/>
      <c r="H46" s="9"/>
      <c r="I46" s="9"/>
      <c r="J46" s="9"/>
      <c r="K46" s="9"/>
      <c r="L46" s="84"/>
      <c r="M46" s="84"/>
      <c r="N46" s="8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3:26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26" x14ac:dyDescent="0.2">
      <c r="C48" s="9"/>
    </row>
  </sheetData>
  <mergeCells count="4">
    <mergeCell ref="C5:N5"/>
    <mergeCell ref="A5:A7"/>
    <mergeCell ref="B5:B7"/>
    <mergeCell ref="O5:Z5"/>
  </mergeCells>
  <phoneticPr fontId="27" type="noConversion"/>
  <pageMargins left="0.75" right="0.75" top="1" bottom="1" header="0.5" footer="0.5"/>
  <pageSetup paperSize="5" scale="50" orientation="landscape" r:id="rId1"/>
  <headerFooter alignWithMargins="0"/>
  <colBreaks count="1" manualBreakCount="1">
    <brk id="14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4C0E6-B2B1-4391-9617-BEDE94CCD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55DAE-947E-46AD-B6F0-75C83E895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C1939A-7BB8-4255-8452-5786A9949F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TRL Energy</vt:lpstr>
      <vt:lpstr>TRL CSP</vt:lpstr>
      <vt:lpstr>Dedicated Resources Energy</vt:lpstr>
      <vt:lpstr>Customer</vt:lpstr>
      <vt:lpstr>'Dedicated Resources Energy'!Print_Area</vt:lpstr>
      <vt:lpstr>'TRL CSP'!Print_Area</vt:lpstr>
      <vt:lpstr>'TRL Energy'!Print_Area</vt:lpstr>
      <vt:lpstr>'Dedicated Resources Energy'!Print_Titles</vt:lpstr>
      <vt:lpstr>'TRL CSP'!Print_Titles</vt:lpstr>
      <vt:lpstr>'TRL Energy'!Print_Titles</vt:lpstr>
    </vt:vector>
  </TitlesOfParts>
  <Company>BPA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Traetow</dc:creator>
  <cp:lastModifiedBy>Rhoads,Abigail M (BPA) - DKE-7</cp:lastModifiedBy>
  <cp:lastPrinted>2017-08-07T19:51:18Z</cp:lastPrinted>
  <dcterms:created xsi:type="dcterms:W3CDTF">2011-07-23T03:00:13Z</dcterms:created>
  <dcterms:modified xsi:type="dcterms:W3CDTF">2022-03-01T15:30:45Z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15900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