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bud.bpa.gov/sites/RateCase/BP-22/Models and Datasets/Final Proposal/Errata/"/>
    </mc:Choice>
  </mc:AlternateContent>
  <bookViews>
    <workbookView xWindow="0" yWindow="0" windowWidth="22035" windowHeight="12660" tabRatio="729"/>
  </bookViews>
  <sheets>
    <sheet name="Utility Specific PFx Settle" sheetId="3" r:id="rId1"/>
    <sheet name="Base Exchange Cost" sheetId="4" r:id="rId2"/>
    <sheet name="ExchangeSummary" sheetId="2" r:id="rId3"/>
    <sheet name="ExchangeInputs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  <c r="B59" i="3" s="1"/>
  <c r="J42" i="3"/>
  <c r="F39" i="3"/>
  <c r="I38" i="3"/>
  <c r="H38" i="3"/>
  <c r="E38" i="3"/>
  <c r="B31" i="3"/>
  <c r="F28" i="3"/>
  <c r="B28" i="3"/>
  <c r="M17" i="3"/>
  <c r="J19" i="3"/>
  <c r="H16" i="3"/>
  <c r="H15" i="3"/>
  <c r="N15" i="3" s="1"/>
  <c r="O15" i="3" s="1"/>
  <c r="G17" i="3"/>
  <c r="H13" i="3"/>
  <c r="B46" i="3"/>
  <c r="B61" i="3" s="1"/>
  <c r="H12" i="3"/>
  <c r="B45" i="3"/>
  <c r="B60" i="3" s="1"/>
  <c r="H11" i="3"/>
  <c r="G38" i="3"/>
  <c r="H10" i="3"/>
  <c r="B29" i="3"/>
  <c r="H9" i="3"/>
  <c r="B42" i="3"/>
  <c r="B57" i="3" s="1"/>
  <c r="B41" i="3"/>
  <c r="B56" i="3" s="1"/>
  <c r="H14" i="3" l="1"/>
  <c r="N14" i="3" s="1"/>
  <c r="O14" i="3" s="1"/>
  <c r="B27" i="3"/>
  <c r="D38" i="3"/>
  <c r="P41" i="3"/>
  <c r="K19" i="3"/>
  <c r="O41" i="3"/>
  <c r="F17" i="3"/>
  <c r="H8" i="3"/>
  <c r="B30" i="3"/>
  <c r="F38" i="3"/>
  <c r="B43" i="3"/>
  <c r="B58" i="3" s="1"/>
  <c r="B32" i="3"/>
  <c r="P15" i="3" l="1"/>
  <c r="I15" i="3"/>
  <c r="P36" i="3"/>
  <c r="O36" i="3"/>
  <c r="P35" i="3"/>
  <c r="O35" i="3"/>
  <c r="P14" i="3"/>
  <c r="I14" i="3"/>
  <c r="H17" i="3"/>
  <c r="I16" i="3" l="1"/>
  <c r="I20" i="3" s="1"/>
  <c r="I10" i="3" l="1"/>
  <c r="I8" i="3"/>
  <c r="I11" i="3"/>
  <c r="I13" i="3"/>
  <c r="I9" i="3"/>
  <c r="I12" i="3"/>
  <c r="F45" i="3" l="1"/>
  <c r="F44" i="3"/>
  <c r="M10" i="3"/>
  <c r="F46" i="3"/>
  <c r="I19" i="3"/>
  <c r="M13" i="3" s="1"/>
  <c r="I17" i="3"/>
  <c r="F41" i="3"/>
  <c r="M9" i="3"/>
  <c r="M12" i="3" l="1"/>
  <c r="M8" i="3"/>
  <c r="F47" i="3"/>
  <c r="L19" i="3"/>
  <c r="K20" i="3"/>
  <c r="L20" i="3" s="1"/>
  <c r="M11" i="3"/>
  <c r="L17" i="3" l="1"/>
  <c r="L16" i="3" l="1"/>
  <c r="N16" i="3" s="1"/>
  <c r="O16" i="3" s="1"/>
  <c r="L15" i="3"/>
  <c r="L14" i="3"/>
  <c r="L10" i="3"/>
  <c r="N10" i="3" s="1"/>
  <c r="O10" i="3" s="1"/>
  <c r="P10" i="3" s="1"/>
  <c r="D29" i="3" s="1"/>
  <c r="L9" i="3"/>
  <c r="N9" i="3" s="1"/>
  <c r="O9" i="3" s="1"/>
  <c r="P9" i="3" s="1"/>
  <c r="D28" i="3" s="1"/>
  <c r="L13" i="3"/>
  <c r="N13" i="3" s="1"/>
  <c r="O13" i="3" s="1"/>
  <c r="P13" i="3" s="1"/>
  <c r="D32" i="3" s="1"/>
  <c r="L11" i="3"/>
  <c r="N11" i="3" s="1"/>
  <c r="O11" i="3" s="1"/>
  <c r="P11" i="3" s="1"/>
  <c r="D30" i="3" s="1"/>
  <c r="L8" i="3"/>
  <c r="N8" i="3" s="1"/>
  <c r="O8" i="3" s="1"/>
  <c r="P8" i="3" s="1"/>
  <c r="L12" i="3"/>
  <c r="N12" i="3" s="1"/>
  <c r="O12" i="3" s="1"/>
  <c r="P12" i="3" s="1"/>
  <c r="D31" i="3" s="1"/>
  <c r="D27" i="3" l="1"/>
  <c r="P19" i="3"/>
  <c r="G39" i="3"/>
  <c r="E32" i="3"/>
  <c r="I39" i="3" s="1"/>
  <c r="I43" i="3" s="1"/>
  <c r="I47" i="3" s="1"/>
  <c r="E31" i="3"/>
  <c r="H39" i="3" s="1"/>
  <c r="E39" i="3"/>
  <c r="G28" i="3"/>
  <c r="H28" i="3" s="1"/>
  <c r="I28" i="3" s="1"/>
  <c r="P37" i="3"/>
  <c r="P38" i="3" s="1"/>
  <c r="O37" i="3"/>
  <c r="O38" i="3" s="1"/>
  <c r="P16" i="3"/>
  <c r="P20" i="3" s="1"/>
  <c r="H57" i="3" l="1"/>
  <c r="E57" i="3"/>
  <c r="G57" i="3"/>
  <c r="J57" i="3"/>
  <c r="F57" i="3"/>
  <c r="D57" i="3"/>
  <c r="I57" i="3"/>
  <c r="K57" i="3"/>
  <c r="E45" i="3"/>
  <c r="E44" i="3"/>
  <c r="J44" i="3" s="1"/>
  <c r="F30" i="3" s="1"/>
  <c r="G30" i="3" s="1"/>
  <c r="H30" i="3" s="1"/>
  <c r="I30" i="3" s="1"/>
  <c r="E46" i="3"/>
  <c r="E41" i="3"/>
  <c r="E43" i="3"/>
  <c r="D33" i="3"/>
  <c r="H43" i="3"/>
  <c r="H46" i="3"/>
  <c r="G46" i="3"/>
  <c r="G43" i="3"/>
  <c r="G45" i="3"/>
  <c r="P17" i="3"/>
  <c r="E33" i="3" l="1"/>
  <c r="D39" i="3"/>
  <c r="H47" i="3"/>
  <c r="F59" i="3"/>
  <c r="J59" i="3"/>
  <c r="G59" i="3"/>
  <c r="E59" i="3"/>
  <c r="I59" i="3"/>
  <c r="H59" i="3"/>
  <c r="K59" i="3"/>
  <c r="D59" i="3"/>
  <c r="G47" i="3"/>
  <c r="E47" i="3"/>
  <c r="J41" i="3"/>
  <c r="F27" i="3" l="1"/>
  <c r="D43" i="3"/>
  <c r="D45" i="3"/>
  <c r="J45" i="3" s="1"/>
  <c r="F31" i="3" s="1"/>
  <c r="G31" i="3" s="1"/>
  <c r="H31" i="3" s="1"/>
  <c r="I31" i="3" s="1"/>
  <c r="D46" i="3"/>
  <c r="J46" i="3" s="1"/>
  <c r="F32" i="3" s="1"/>
  <c r="G32" i="3" s="1"/>
  <c r="H32" i="3" s="1"/>
  <c r="I32" i="3" s="1"/>
  <c r="F60" i="3" l="1"/>
  <c r="K60" i="3"/>
  <c r="I60" i="3"/>
  <c r="J60" i="3"/>
  <c r="G60" i="3"/>
  <c r="E60" i="3"/>
  <c r="H60" i="3"/>
  <c r="D60" i="3"/>
  <c r="D47" i="3"/>
  <c r="J43" i="3"/>
  <c r="D61" i="3"/>
  <c r="F61" i="3"/>
  <c r="I61" i="3"/>
  <c r="E61" i="3"/>
  <c r="K61" i="3"/>
  <c r="H61" i="3"/>
  <c r="J61" i="3"/>
  <c r="G61" i="3"/>
  <c r="G27" i="3"/>
  <c r="F29" i="3" l="1"/>
  <c r="J47" i="3"/>
  <c r="H27" i="3"/>
  <c r="I27" i="3" l="1"/>
  <c r="G29" i="3"/>
  <c r="F33" i="3"/>
  <c r="H29" i="3" l="1"/>
  <c r="G33" i="3"/>
  <c r="E56" i="3"/>
  <c r="F56" i="3"/>
  <c r="J56" i="3"/>
  <c r="G56" i="3"/>
  <c r="I56" i="3"/>
  <c r="K56" i="3"/>
  <c r="D56" i="3"/>
  <c r="H56" i="3"/>
  <c r="I29" i="3" l="1"/>
  <c r="H33" i="3"/>
  <c r="E58" i="3" l="1"/>
  <c r="E62" i="3" s="1"/>
  <c r="E64" i="3" s="1"/>
  <c r="E66" i="3" s="1"/>
  <c r="G58" i="3"/>
  <c r="G62" i="3" s="1"/>
  <c r="G64" i="3" s="1"/>
  <c r="G66" i="3" s="1"/>
  <c r="J58" i="3"/>
  <c r="J62" i="3" s="1"/>
  <c r="J64" i="3" s="1"/>
  <c r="J66" i="3" s="1"/>
  <c r="I58" i="3"/>
  <c r="I62" i="3" s="1"/>
  <c r="I64" i="3" s="1"/>
  <c r="I66" i="3" s="1"/>
  <c r="K58" i="3"/>
  <c r="K62" i="3" s="1"/>
  <c r="K64" i="3" s="1"/>
  <c r="K66" i="3" s="1"/>
  <c r="F58" i="3"/>
  <c r="F62" i="3" s="1"/>
  <c r="F64" i="3" s="1"/>
  <c r="F66" i="3" s="1"/>
  <c r="H58" i="3"/>
  <c r="H62" i="3" s="1"/>
  <c r="H64" i="3" s="1"/>
  <c r="H66" i="3" s="1"/>
  <c r="D58" i="3"/>
  <c r="D62" i="3" s="1"/>
  <c r="D64" i="3" s="1"/>
  <c r="D66" i="3" s="1"/>
  <c r="C66" i="3" l="1"/>
  <c r="C19" i="3" s="1"/>
  <c r="J28" i="3" l="1"/>
  <c r="J30" i="3"/>
  <c r="J32" i="3"/>
  <c r="J31" i="3"/>
  <c r="J27" i="3"/>
  <c r="J29" i="3"/>
  <c r="O31" i="3" l="1"/>
  <c r="L31" i="3"/>
  <c r="P31" i="3"/>
  <c r="O32" i="3"/>
  <c r="L32" i="3"/>
  <c r="P32" i="3"/>
  <c r="P29" i="3"/>
  <c r="L29" i="3"/>
  <c r="O29" i="3"/>
  <c r="O30" i="3"/>
  <c r="L30" i="3"/>
  <c r="P30" i="3"/>
  <c r="O27" i="3"/>
  <c r="P27" i="3"/>
  <c r="L27" i="3"/>
  <c r="O28" i="3"/>
  <c r="L28" i="3"/>
  <c r="P28" i="3"/>
  <c r="L33" i="3" l="1"/>
  <c r="E19" i="3" s="1"/>
  <c r="P33" i="3"/>
  <c r="P39" i="3" s="1"/>
  <c r="P42" i="3" s="1"/>
  <c r="O33" i="3"/>
  <c r="O39" i="3" s="1"/>
  <c r="O42" i="3" s="1"/>
</calcChain>
</file>

<file path=xl/sharedStrings.xml><?xml version="1.0" encoding="utf-8"?>
<sst xmlns="http://schemas.openxmlformats.org/spreadsheetml/2006/main" count="216" uniqueCount="111">
  <si>
    <t>Exchange Inputs Sheet</t>
  </si>
  <si>
    <t>Not printed in documentation.</t>
  </si>
  <si>
    <t>Transmission Cost ($/MWh)</t>
  </si>
  <si>
    <t>EntityID</t>
  </si>
  <si>
    <t>Exchange ASC ($/MWh)</t>
  </si>
  <si>
    <t xml:space="preserve"> </t>
  </si>
  <si>
    <t>Avista Corporation</t>
  </si>
  <si>
    <t>Idaho Power Company</t>
  </si>
  <si>
    <t>NorthWestern Energy, LLC</t>
  </si>
  <si>
    <t>PacifiCorp</t>
  </si>
  <si>
    <t>Portland General Electric Company</t>
  </si>
  <si>
    <t>Puget Sound Energy, Inc.</t>
  </si>
  <si>
    <t>Clark Public Utilities</t>
  </si>
  <si>
    <t>Franklin</t>
  </si>
  <si>
    <t>Snohomish PUD</t>
  </si>
  <si>
    <t>Exchange LOADS (aMW)</t>
  </si>
  <si>
    <t>Exchange Cost Calculation</t>
  </si>
  <si>
    <t>Exchange ASCs ($/MWh)</t>
  </si>
  <si>
    <t>Exchange Loads (GWh)</t>
  </si>
  <si>
    <t>Exchange Resource Cost ($000)</t>
  </si>
  <si>
    <t>Results Under Settlement</t>
  </si>
  <si>
    <t>Calculation of Settlement Utility Specific PF Exchange Rates</t>
  </si>
  <si>
    <t>Initial Allocations</t>
  </si>
  <si>
    <t>Average</t>
  </si>
  <si>
    <t>Interim</t>
  </si>
  <si>
    <t>Refund</t>
  </si>
  <si>
    <t>Base</t>
  </si>
  <si>
    <t>Exchange</t>
  </si>
  <si>
    <t xml:space="preserve">Unconstrained </t>
  </si>
  <si>
    <t>Scheduled</t>
  </si>
  <si>
    <t>Protection</t>
  </si>
  <si>
    <t>Cost</t>
  </si>
  <si>
    <t>7(b)(3)</t>
  </si>
  <si>
    <t>Utility</t>
  </si>
  <si>
    <t>REP</t>
  </si>
  <si>
    <t>ASC</t>
  </si>
  <si>
    <t>PFx</t>
  </si>
  <si>
    <t>Load</t>
  </si>
  <si>
    <t>Benefits</t>
  </si>
  <si>
    <t>Amount</t>
  </si>
  <si>
    <t>Allocation</t>
  </si>
  <si>
    <t>Surcharge</t>
  </si>
  <si>
    <t>a</t>
  </si>
  <si>
    <t>b</t>
  </si>
  <si>
    <t>c</t>
  </si>
  <si>
    <t>d</t>
  </si>
  <si>
    <t>e=avg(c,d)</t>
  </si>
  <si>
    <t>f=(a-b)*e</t>
  </si>
  <si>
    <t>g=contract</t>
  </si>
  <si>
    <t>h=contract</t>
  </si>
  <si>
    <t>Σi=Σf - Σh</t>
  </si>
  <si>
    <t>Σj=h</t>
  </si>
  <si>
    <t>k=(i+j)/e</t>
  </si>
  <si>
    <t>l=b+k</t>
  </si>
  <si>
    <t>m=(a-l)*e</t>
  </si>
  <si>
    <t>Total</t>
  </si>
  <si>
    <t>rounding to</t>
  </si>
  <si>
    <t xml:space="preserve">places = </t>
  </si>
  <si>
    <t>IOU Σ(g)</t>
  </si>
  <si>
    <t>IOU Σ(j)</t>
  </si>
  <si>
    <t>IOU REP</t>
  </si>
  <si>
    <t>COU Σ(g)</t>
  </si>
  <si>
    <t>COU Σ(j)</t>
  </si>
  <si>
    <t>COU REP</t>
  </si>
  <si>
    <t>IOU Reallocations</t>
  </si>
  <si>
    <t>Final</t>
  </si>
  <si>
    <t>Annual</t>
  </si>
  <si>
    <t>Reallocation</t>
  </si>
  <si>
    <t>Reallocated</t>
  </si>
  <si>
    <t>Adjustment</t>
  </si>
  <si>
    <t>n=m</t>
  </si>
  <si>
    <t>o=contract</t>
  </si>
  <si>
    <t>p=below</t>
  </si>
  <si>
    <t>q=n-o+p</t>
  </si>
  <si>
    <t>r=f-q</t>
  </si>
  <si>
    <t>s=r/e</t>
  </si>
  <si>
    <t>t=b+s</t>
  </si>
  <si>
    <t>u=(a-t)*e</t>
  </si>
  <si>
    <t>v=(a-t)*c</t>
  </si>
  <si>
    <t>w=(a-t)*d</t>
  </si>
  <si>
    <t>Avista</t>
  </si>
  <si>
    <t>Idaho Power</t>
  </si>
  <si>
    <t>NorthWestern</t>
  </si>
  <si>
    <t>Portland</t>
  </si>
  <si>
    <t>Puget Sound</t>
  </si>
  <si>
    <t>Clark</t>
  </si>
  <si>
    <t>IOU Reallocation Adjustments</t>
  </si>
  <si>
    <t>Snohomish</t>
  </si>
  <si>
    <t>Total REP</t>
  </si>
  <si>
    <t>p1=o1*(f/Σf)</t>
  </si>
  <si>
    <t>p2=o2*(f/Σf)</t>
  </si>
  <si>
    <t>p3=o3*(f/Σf)</t>
  </si>
  <si>
    <t>p4=o4*(f/Σf)</t>
  </si>
  <si>
    <t>p5=o5*(f/Σf)</t>
  </si>
  <si>
    <t>p6=o6*(f/Σf)</t>
  </si>
  <si>
    <t>p=Σ(p1…p6)</t>
  </si>
  <si>
    <t>Refund Amt</t>
  </si>
  <si>
    <t>REP Cost</t>
  </si>
  <si>
    <t>Determine Rounding Decimal Place</t>
  </si>
  <si>
    <t>Rate Analysis Model - Exchange Resource Cost</t>
  </si>
  <si>
    <t>IOU Base PFx</t>
  </si>
  <si>
    <t>COU Base PFx</t>
  </si>
  <si>
    <t>ASCs</t>
  </si>
  <si>
    <t>Exchange Loads</t>
  </si>
  <si>
    <t>Unconstrained Benefits</t>
  </si>
  <si>
    <t xml:space="preserve">IOU </t>
  </si>
  <si>
    <t xml:space="preserve">   (load * (ASC - Base PFx)</t>
  </si>
  <si>
    <t/>
  </si>
  <si>
    <t>TOC</t>
  </si>
  <si>
    <t>é</t>
  </si>
  <si>
    <t>RAM2022_Errata.xls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</si>
</sst>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FY&quot;\ ###"/>
    <numFmt numFmtId="168" formatCode="&quot;$&quot;#,##0"/>
    <numFmt numFmtId="169" formatCode="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FFFF"/>
      <name val="Times"/>
      <family val="1"/>
    </font>
    <font>
      <b/>
      <sz val="14"/>
      <color rgb="FF3366FF"/>
      <name val="Times New Roman"/>
      <family val="1"/>
    </font>
    <font>
      <sz val="10"/>
      <name val="Times"/>
      <family val="1"/>
    </font>
    <font>
      <sz val="10"/>
      <color rgb="FF963634"/>
      <name val="Times New Roman"/>
      <family val="1"/>
    </font>
    <font>
      <u/>
      <sz val="7.5"/>
      <color rgb="FF0000FF"/>
      <name val="Arial"/>
      <family val="2"/>
    </font>
    <font>
      <b/>
      <u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"/>
      <family val="1"/>
    </font>
    <font>
      <b/>
      <u/>
      <sz val="11"/>
      <color rgb="FF0000FF"/>
      <name val="Wingdings"/>
      <charset val="2"/>
    </font>
    <font>
      <sz val="12"/>
      <name val="Times New Roman"/>
      <family val="1"/>
    </font>
    <font>
      <sz val="16"/>
      <color rgb="FF3366FF"/>
      <name val="Times New Roman"/>
      <family val="1"/>
    </font>
    <font>
      <b/>
      <i/>
      <sz val="12"/>
      <color rgb="FF3366FF"/>
      <name val="Times New Roman"/>
      <family val="1"/>
    </font>
    <font>
      <sz val="12"/>
      <color rgb="FFFFFFFF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0"/>
      <color rgb="FFFFFFFF"/>
      <name val="Times New Roman"/>
      <family val="1"/>
    </font>
    <font>
      <sz val="10"/>
      <name val="Arial"/>
      <family val="2"/>
    </font>
    <font>
      <sz val="12"/>
      <color rgb="FFC0504D"/>
      <name val="Times New Roman"/>
      <family val="1"/>
    </font>
    <font>
      <b/>
      <sz val="10"/>
      <name val="Times New Roman"/>
      <family val="1"/>
    </font>
    <font>
      <sz val="10"/>
      <color rgb="FFFF00FF"/>
      <name val="Times New Roman"/>
      <family val="1"/>
    </font>
    <font>
      <b/>
      <u/>
      <sz val="11"/>
      <color rgb="FF0000FF"/>
      <name val="Times New Roman"/>
      <family val="1"/>
    </font>
    <font>
      <b/>
      <sz val="16"/>
      <color rgb="FFFF0000"/>
      <name val="Times New Roman"/>
      <family val="1"/>
    </font>
    <font>
      <b/>
      <sz val="10"/>
      <color rgb="FF3366FF"/>
      <name val="Times New Roman"/>
      <family val="1"/>
    </font>
    <font>
      <sz val="12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4"/>
      <color rgb="FF3366FF"/>
      <name val="Arial"/>
      <family val="2"/>
    </font>
    <font>
      <b/>
      <sz val="12"/>
      <name val="Calibri"/>
      <family val="2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B6C1"/>
        <bgColor rgb="FF000000"/>
      </patternFill>
    </fill>
    <fill>
      <patternFill patternType="solid">
        <fgColor rgb="FFC0C0C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0" fillId="0" borderId="0"/>
    <xf numFmtId="0" fontId="11" fillId="0" borderId="0"/>
    <xf numFmtId="0" fontId="20" fillId="0" borderId="0"/>
  </cellStyleXfs>
  <cellXfs count="15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7" fillId="2" borderId="0" xfId="3" applyFont="1" applyFill="1" applyBorder="1" applyAlignment="1" applyProtection="1"/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10" fillId="2" borderId="0" xfId="3" applyFont="1" applyFill="1" applyBorder="1" applyAlignment="1" applyProtection="1"/>
    <xf numFmtId="0" fontId="12" fillId="2" borderId="0" xfId="4" applyFont="1" applyFill="1" applyBorder="1"/>
    <xf numFmtId="0" fontId="11" fillId="2" borderId="0" xfId="4" applyFont="1" applyFill="1" applyBorder="1"/>
    <xf numFmtId="0" fontId="13" fillId="0" borderId="0" xfId="4" applyFont="1" applyFill="1" applyBorder="1"/>
    <xf numFmtId="43" fontId="14" fillId="3" borderId="1" xfId="1" applyFont="1" applyFill="1" applyBorder="1"/>
    <xf numFmtId="0" fontId="11" fillId="0" borderId="0" xfId="4" applyFont="1" applyFill="1" applyBorder="1"/>
    <xf numFmtId="0" fontId="11" fillId="0" borderId="0" xfId="0" applyFont="1" applyFill="1" applyBorder="1"/>
    <xf numFmtId="0" fontId="13" fillId="2" borderId="0" xfId="4" applyFont="1" applyFill="1" applyBorder="1"/>
    <xf numFmtId="0" fontId="15" fillId="2" borderId="0" xfId="4" applyFont="1" applyFill="1" applyBorder="1"/>
    <xf numFmtId="0" fontId="16" fillId="2" borderId="2" xfId="4" applyNumberFormat="1" applyFont="1" applyFill="1" applyBorder="1" applyAlignment="1"/>
    <xf numFmtId="0" fontId="16" fillId="2" borderId="3" xfId="4" applyNumberFormat="1" applyFont="1" applyFill="1" applyBorder="1" applyAlignment="1"/>
    <xf numFmtId="2" fontId="17" fillId="0" borderId="0" xfId="4" applyNumberFormat="1" applyFont="1" applyFill="1" applyBorder="1" applyAlignment="1"/>
    <xf numFmtId="0" fontId="11" fillId="2" borderId="2" xfId="4" applyFont="1" applyFill="1" applyBorder="1"/>
    <xf numFmtId="0" fontId="11" fillId="2" borderId="3" xfId="4" applyFont="1" applyFill="1" applyBorder="1"/>
    <xf numFmtId="0" fontId="16" fillId="4" borderId="2" xfId="4" applyNumberFormat="1" applyFont="1" applyFill="1" applyBorder="1" applyAlignment="1"/>
    <xf numFmtId="0" fontId="16" fillId="4" borderId="3" xfId="4" applyNumberFormat="1" applyFont="1" applyFill="1" applyBorder="1" applyAlignment="1"/>
    <xf numFmtId="2" fontId="18" fillId="0" borderId="0" xfId="4" applyNumberFormat="1" applyFont="1" applyFill="1" applyBorder="1"/>
    <xf numFmtId="0" fontId="18" fillId="0" borderId="0" xfId="4" applyFont="1" applyFill="1" applyBorder="1"/>
    <xf numFmtId="0" fontId="15" fillId="0" borderId="0" xfId="4" applyFont="1" applyFill="1" applyBorder="1"/>
    <xf numFmtId="164" fontId="17" fillId="0" borderId="3" xfId="4" applyNumberFormat="1" applyFont="1" applyFill="1" applyBorder="1" applyAlignment="1"/>
    <xf numFmtId="3" fontId="18" fillId="0" borderId="0" xfId="4" applyNumberFormat="1" applyFont="1" applyFill="1" applyBorder="1"/>
    <xf numFmtId="164" fontId="18" fillId="0" borderId="3" xfId="4" applyNumberFormat="1" applyFont="1" applyFill="1" applyBorder="1" applyAlignment="1"/>
    <xf numFmtId="0" fontId="19" fillId="2" borderId="0" xfId="0" applyFont="1" applyFill="1" applyBorder="1"/>
    <xf numFmtId="0" fontId="8" fillId="2" borderId="0" xfId="0" applyFont="1" applyFill="1" applyBorder="1"/>
    <xf numFmtId="0" fontId="21" fillId="0" borderId="0" xfId="5" applyFont="1" applyFill="1" applyBorder="1"/>
    <xf numFmtId="0" fontId="22" fillId="2" borderId="0" xfId="0" applyFont="1" applyFill="1" applyBorder="1" applyAlignment="1"/>
    <xf numFmtId="0" fontId="23" fillId="2" borderId="0" xfId="0" applyFont="1" applyFill="1" applyBorder="1"/>
    <xf numFmtId="0" fontId="24" fillId="2" borderId="0" xfId="3" applyFont="1" applyFill="1" applyBorder="1" applyAlignment="1" applyProtection="1"/>
    <xf numFmtId="0" fontId="11" fillId="2" borderId="0" xfId="0" applyFont="1" applyFill="1" applyBorder="1"/>
    <xf numFmtId="0" fontId="11" fillId="0" borderId="0" xfId="5" applyFont="1" applyFill="1" applyBorder="1"/>
    <xf numFmtId="0" fontId="15" fillId="0" borderId="0" xfId="5" applyFont="1" applyFill="1" applyBorder="1"/>
    <xf numFmtId="0" fontId="15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44" fontId="11" fillId="0" borderId="0" xfId="2" applyNumberFormat="1" applyFont="1" applyFill="1" applyBorder="1"/>
    <xf numFmtId="165" fontId="11" fillId="0" borderId="0" xfId="5" applyNumberFormat="1" applyFont="1" applyFill="1" applyBorder="1"/>
    <xf numFmtId="3" fontId="11" fillId="0" borderId="0" xfId="6" applyNumberFormat="1" applyFont="1" applyFill="1" applyBorder="1" applyAlignment="1">
      <alignment horizontal="center"/>
    </xf>
    <xf numFmtId="3" fontId="18" fillId="0" borderId="0" xfId="6" applyNumberFormat="1" applyFont="1" applyFill="1" applyBorder="1" applyAlignment="1">
      <alignment horizontal="center"/>
    </xf>
    <xf numFmtId="3" fontId="11" fillId="0" borderId="4" xfId="6" applyNumberFormat="1" applyFont="1" applyFill="1" applyBorder="1" applyAlignment="1">
      <alignment horizontal="center"/>
    </xf>
    <xf numFmtId="166" fontId="11" fillId="0" borderId="0" xfId="1" applyNumberFormat="1" applyFont="1" applyFill="1" applyBorder="1"/>
    <xf numFmtId="165" fontId="11" fillId="0" borderId="0" xfId="2" applyNumberFormat="1" applyFont="1" applyFill="1" applyBorder="1"/>
    <xf numFmtId="165" fontId="18" fillId="0" borderId="0" xfId="2" applyNumberFormat="1" applyFont="1" applyFill="1" applyBorder="1"/>
    <xf numFmtId="165" fontId="11" fillId="0" borderId="4" xfId="2" applyNumberFormat="1" applyFont="1" applyFill="1" applyBorder="1"/>
    <xf numFmtId="165" fontId="18" fillId="0" borderId="0" xfId="5" applyNumberFormat="1" applyFont="1" applyFill="1" applyBorder="1"/>
    <xf numFmtId="0" fontId="20" fillId="2" borderId="0" xfId="5" applyFont="1" applyFill="1" applyBorder="1"/>
    <xf numFmtId="0" fontId="20" fillId="0" borderId="0" xfId="5" applyFont="1" applyFill="1" applyBorder="1"/>
    <xf numFmtId="0" fontId="21" fillId="2" borderId="0" xfId="0" applyFont="1" applyFill="1" applyBorder="1"/>
    <xf numFmtId="0" fontId="25" fillId="2" borderId="0" xfId="0" applyFont="1" applyFill="1" applyBorder="1"/>
    <xf numFmtId="0" fontId="26" fillId="2" borderId="0" xfId="0" applyFont="1" applyFill="1" applyBorder="1"/>
    <xf numFmtId="0" fontId="8" fillId="2" borderId="0" xfId="5" applyFont="1" applyFill="1" applyBorder="1"/>
    <xf numFmtId="167" fontId="1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5" applyFont="1" applyFill="1" applyBorder="1"/>
    <xf numFmtId="0" fontId="15" fillId="0" borderId="0" xfId="7" applyFont="1" applyFill="1" applyBorder="1" applyAlignment="1">
      <alignment horizontal="center"/>
    </xf>
    <xf numFmtId="0" fontId="11" fillId="0" borderId="5" xfId="5" applyFont="1" applyFill="1" applyBorder="1"/>
    <xf numFmtId="0" fontId="11" fillId="0" borderId="5" xfId="5" applyFont="1" applyFill="1" applyBorder="1" applyAlignment="1">
      <alignment horizontal="center"/>
    </xf>
    <xf numFmtId="2" fontId="18" fillId="0" borderId="0" xfId="5" applyNumberFormat="1" applyFont="1" applyFill="1" applyBorder="1"/>
    <xf numFmtId="3" fontId="11" fillId="0" borderId="0" xfId="5" applyNumberFormat="1" applyFont="1" applyFill="1" applyBorder="1"/>
    <xf numFmtId="165" fontId="18" fillId="0" borderId="0" xfId="0" applyNumberFormat="1" applyFont="1" applyFill="1" applyBorder="1"/>
    <xf numFmtId="165" fontId="11" fillId="0" borderId="0" xfId="0" applyNumberFormat="1" applyFont="1" applyFill="1" applyBorder="1"/>
    <xf numFmtId="3" fontId="18" fillId="0" borderId="0" xfId="5" applyNumberFormat="1" applyFont="1" applyFill="1" applyBorder="1"/>
    <xf numFmtId="0" fontId="11" fillId="0" borderId="6" xfId="5" applyFont="1" applyFill="1" applyBorder="1"/>
    <xf numFmtId="2" fontId="11" fillId="0" borderId="6" xfId="5" applyNumberFormat="1" applyFont="1" applyFill="1" applyBorder="1"/>
    <xf numFmtId="3" fontId="11" fillId="0" borderId="6" xfId="5" applyNumberFormat="1" applyFont="1" applyFill="1" applyBorder="1"/>
    <xf numFmtId="165" fontId="11" fillId="0" borderId="6" xfId="0" applyNumberFormat="1" applyFont="1" applyFill="1" applyBorder="1"/>
    <xf numFmtId="2" fontId="11" fillId="0" borderId="0" xfId="5" applyNumberFormat="1" applyFont="1" applyFill="1" applyBorder="1"/>
    <xf numFmtId="0" fontId="11" fillId="0" borderId="7" xfId="5" applyFont="1" applyFill="1" applyBorder="1"/>
    <xf numFmtId="3" fontId="11" fillId="0" borderId="7" xfId="5" applyNumberFormat="1" applyFont="1" applyFill="1" applyBorder="1"/>
    <xf numFmtId="165" fontId="18" fillId="0" borderId="7" xfId="5" applyNumberFormat="1" applyFont="1" applyFill="1" applyBorder="1"/>
    <xf numFmtId="6" fontId="11" fillId="0" borderId="7" xfId="5" applyNumberFormat="1" applyFont="1" applyFill="1" applyBorder="1"/>
    <xf numFmtId="0" fontId="20" fillId="0" borderId="8" xfId="7" applyFont="1" applyFill="1" applyBorder="1" applyAlignment="1">
      <alignment horizontal="right"/>
    </xf>
    <xf numFmtId="0" fontId="20" fillId="5" borderId="9" xfId="7" applyFont="1" applyFill="1" applyBorder="1" applyAlignment="1">
      <alignment horizontal="center"/>
    </xf>
    <xf numFmtId="0" fontId="20" fillId="0" borderId="9" xfId="7" applyFont="1" applyFill="1" applyBorder="1" applyAlignment="1">
      <alignment horizontal="center"/>
    </xf>
    <xf numFmtId="168" fontId="28" fillId="0" borderId="10" xfId="7" applyNumberFormat="1" applyFont="1" applyFill="1" applyBorder="1" applyAlignment="1">
      <alignment horizontal="left"/>
    </xf>
    <xf numFmtId="0" fontId="11" fillId="0" borderId="0" xfId="5" applyFont="1" applyFill="1" applyBorder="1" applyAlignment="1">
      <alignment horizontal="right"/>
    </xf>
    <xf numFmtId="165" fontId="18" fillId="0" borderId="11" xfId="5" applyNumberFormat="1" applyFont="1" applyFill="1" applyBorder="1"/>
    <xf numFmtId="165" fontId="18" fillId="0" borderId="12" xfId="5" applyNumberFormat="1" applyFont="1" applyFill="1" applyBorder="1"/>
    <xf numFmtId="165" fontId="18" fillId="0" borderId="13" xfId="5" applyNumberFormat="1" applyFont="1" applyFill="1" applyBorder="1"/>
    <xf numFmtId="0" fontId="11" fillId="0" borderId="4" xfId="5" applyFont="1" applyFill="1" applyBorder="1"/>
    <xf numFmtId="6" fontId="18" fillId="0" borderId="4" xfId="5" applyNumberFormat="1" applyFont="1" applyFill="1" applyBorder="1"/>
    <xf numFmtId="165" fontId="18" fillId="0" borderId="14" xfId="5" applyNumberFormat="1" applyFont="1" applyFill="1" applyBorder="1"/>
    <xf numFmtId="0" fontId="11" fillId="0" borderId="0" xfId="7" applyFont="1" applyFill="1" applyBorder="1"/>
    <xf numFmtId="0" fontId="11" fillId="0" borderId="5" xfId="7" applyFont="1" applyFill="1" applyBorder="1" applyAlignment="1">
      <alignment horizontal="center"/>
    </xf>
    <xf numFmtId="169" fontId="18" fillId="0" borderId="0" xfId="5" applyNumberFormat="1" applyFont="1" applyFill="1" applyBorder="1"/>
    <xf numFmtId="165" fontId="11" fillId="0" borderId="7" xfId="5" applyNumberFormat="1" applyFont="1" applyFill="1" applyBorder="1"/>
    <xf numFmtId="0" fontId="11" fillId="0" borderId="0" xfId="5" applyFont="1" applyFill="1" applyBorder="1" applyAlignment="1">
      <alignment horizontal="left"/>
    </xf>
    <xf numFmtId="0" fontId="8" fillId="0" borderId="0" xfId="5" applyFont="1" applyFill="1" applyBorder="1" applyAlignment="1">
      <alignment horizontal="center"/>
    </xf>
    <xf numFmtId="165" fontId="27" fillId="0" borderId="0" xfId="5" applyNumberFormat="1" applyFont="1" applyFill="1" applyBorder="1"/>
    <xf numFmtId="165" fontId="18" fillId="0" borderId="4" xfId="0" applyNumberFormat="1" applyFont="1" applyFill="1" applyBorder="1"/>
    <xf numFmtId="165" fontId="11" fillId="0" borderId="4" xfId="0" applyNumberFormat="1" applyFont="1" applyFill="1" applyBorder="1"/>
    <xf numFmtId="0" fontId="20" fillId="5" borderId="11" xfId="5" applyFont="1" applyFill="1" applyBorder="1"/>
    <xf numFmtId="0" fontId="20" fillId="5" borderId="7" xfId="5" applyFont="1" applyFill="1" applyBorder="1"/>
    <xf numFmtId="0" fontId="20" fillId="5" borderId="12" xfId="5" applyFont="1" applyFill="1" applyBorder="1"/>
    <xf numFmtId="0" fontId="20" fillId="5" borderId="15" xfId="5" applyFont="1" applyFill="1" applyBorder="1"/>
    <xf numFmtId="0" fontId="20" fillId="5" borderId="0" xfId="5" applyFont="1" applyFill="1" applyBorder="1"/>
    <xf numFmtId="165" fontId="11" fillId="5" borderId="0" xfId="5" applyNumberFormat="1" applyFont="1" applyFill="1" applyBorder="1"/>
    <xf numFmtId="165" fontId="11" fillId="5" borderId="16" xfId="5" applyNumberFormat="1" applyFont="1" applyFill="1" applyBorder="1"/>
    <xf numFmtId="165" fontId="11" fillId="5" borderId="4" xfId="5" applyNumberFormat="1" applyFont="1" applyFill="1" applyBorder="1"/>
    <xf numFmtId="165" fontId="11" fillId="5" borderId="14" xfId="5" applyNumberFormat="1" applyFont="1" applyFill="1" applyBorder="1"/>
    <xf numFmtId="165" fontId="20" fillId="5" borderId="0" xfId="5" applyNumberFormat="1" applyFont="1" applyFill="1" applyBorder="1"/>
    <xf numFmtId="165" fontId="20" fillId="5" borderId="16" xfId="5" applyNumberFormat="1" applyFont="1" applyFill="1" applyBorder="1"/>
    <xf numFmtId="0" fontId="20" fillId="5" borderId="16" xfId="5" applyFont="1" applyFill="1" applyBorder="1"/>
    <xf numFmtId="6" fontId="20" fillId="5" borderId="0" xfId="5" applyNumberFormat="1" applyFont="1" applyFill="1" applyBorder="1"/>
    <xf numFmtId="6" fontId="20" fillId="5" borderId="16" xfId="5" applyNumberFormat="1" applyFont="1" applyFill="1" applyBorder="1"/>
    <xf numFmtId="0" fontId="20" fillId="5" borderId="13" xfId="5" applyFont="1" applyFill="1" applyBorder="1"/>
    <xf numFmtId="0" fontId="29" fillId="5" borderId="1" xfId="5" applyFont="1" applyFill="1" applyBorder="1"/>
    <xf numFmtId="0" fontId="20" fillId="5" borderId="4" xfId="5" applyFont="1" applyFill="1" applyBorder="1"/>
    <xf numFmtId="0" fontId="20" fillId="5" borderId="14" xfId="5" applyFont="1" applyFill="1" applyBorder="1"/>
    <xf numFmtId="0" fontId="11" fillId="2" borderId="0" xfId="0" applyFont="1" applyFill="1" applyBorder="1" applyAlignment="1"/>
    <xf numFmtId="0" fontId="30" fillId="2" borderId="0" xfId="0" applyFont="1" applyFill="1" applyBorder="1" applyAlignment="1"/>
    <xf numFmtId="0" fontId="20" fillId="2" borderId="0" xfId="0" applyFont="1" applyFill="1" applyBorder="1"/>
    <xf numFmtId="0" fontId="29" fillId="2" borderId="0" xfId="0" applyFont="1" applyFill="1" applyBorder="1" applyAlignment="1"/>
    <xf numFmtId="0" fontId="31" fillId="2" borderId="0" xfId="0" applyFont="1" applyFill="1" applyBorder="1" applyAlignment="1">
      <alignment horizontal="center"/>
    </xf>
    <xf numFmtId="0" fontId="29" fillId="2" borderId="0" xfId="5" applyFont="1" applyFill="1" applyBorder="1" applyAlignment="1">
      <alignment horizontal="center"/>
    </xf>
    <xf numFmtId="0" fontId="15" fillId="0" borderId="0" xfId="0" applyFont="1" applyFill="1" applyBorder="1"/>
    <xf numFmtId="2" fontId="32" fillId="0" borderId="1" xfId="0" applyNumberFormat="1" applyFont="1" applyFill="1" applyBorder="1" applyAlignment="1">
      <alignment horizontal="center"/>
    </xf>
    <xf numFmtId="0" fontId="8" fillId="0" borderId="0" xfId="5" applyFont="1" applyFill="1" applyBorder="1"/>
    <xf numFmtId="0" fontId="29" fillId="0" borderId="0" xfId="5" applyFont="1" applyFill="1" applyBorder="1" applyAlignment="1">
      <alignment horizontal="center"/>
    </xf>
    <xf numFmtId="0" fontId="22" fillId="0" borderId="0" xfId="5" applyFont="1" applyFill="1" applyBorder="1"/>
    <xf numFmtId="0" fontId="22" fillId="0" borderId="0" xfId="5" quotePrefix="1" applyFont="1" applyFill="1" applyBorder="1" applyAlignment="1">
      <alignment horizontal="left"/>
    </xf>
    <xf numFmtId="0" fontId="22" fillId="0" borderId="0" xfId="5" applyFont="1" applyFill="1" applyBorder="1" applyAlignment="1">
      <alignment horizontal="center"/>
    </xf>
    <xf numFmtId="0" fontId="22" fillId="0" borderId="11" xfId="5" applyFont="1" applyFill="1" applyBorder="1" applyAlignment="1">
      <alignment horizontal="center"/>
    </xf>
    <xf numFmtId="0" fontId="22" fillId="0" borderId="12" xfId="5" applyFont="1" applyFill="1" applyBorder="1" applyAlignment="1">
      <alignment horizontal="center"/>
    </xf>
    <xf numFmtId="0" fontId="8" fillId="0" borderId="15" xfId="5" applyFont="1" applyFill="1" applyBorder="1"/>
    <xf numFmtId="0" fontId="8" fillId="0" borderId="16" xfId="5" applyFont="1" applyFill="1" applyBorder="1"/>
    <xf numFmtId="0" fontId="22" fillId="0" borderId="15" xfId="5" applyFont="1" applyFill="1" applyBorder="1" applyAlignment="1">
      <alignment horizontal="center"/>
    </xf>
    <xf numFmtId="0" fontId="22" fillId="0" borderId="16" xfId="5" applyFont="1" applyFill="1" applyBorder="1" applyAlignment="1">
      <alignment horizontal="center"/>
    </xf>
    <xf numFmtId="4" fontId="8" fillId="0" borderId="15" xfId="5" applyNumberFormat="1" applyFont="1" applyFill="1" applyBorder="1" applyAlignment="1">
      <alignment horizontal="center"/>
    </xf>
    <xf numFmtId="4" fontId="8" fillId="0" borderId="16" xfId="5" applyNumberFormat="1" applyFont="1" applyFill="1" applyBorder="1" applyAlignment="1">
      <alignment horizontal="center"/>
    </xf>
    <xf numFmtId="3" fontId="8" fillId="0" borderId="15" xfId="5" applyNumberFormat="1" applyFont="1" applyFill="1" applyBorder="1" applyAlignment="1">
      <alignment horizontal="center"/>
    </xf>
    <xf numFmtId="3" fontId="8" fillId="0" borderId="16" xfId="5" applyNumberFormat="1" applyFont="1" applyFill="1" applyBorder="1" applyAlignment="1">
      <alignment horizontal="center"/>
    </xf>
    <xf numFmtId="165" fontId="33" fillId="0" borderId="15" xfId="2" applyNumberFormat="1" applyFont="1" applyFill="1" applyBorder="1"/>
    <xf numFmtId="165" fontId="33" fillId="0" borderId="16" xfId="2" applyNumberFormat="1" applyFont="1" applyFill="1" applyBorder="1"/>
    <xf numFmtId="165" fontId="20" fillId="0" borderId="0" xfId="2" applyNumberFormat="1" applyFont="1" applyFill="1" applyBorder="1"/>
    <xf numFmtId="3" fontId="33" fillId="0" borderId="15" xfId="5" applyNumberFormat="1" applyFont="1" applyFill="1" applyBorder="1" applyAlignment="1">
      <alignment horizontal="center"/>
    </xf>
    <xf numFmtId="3" fontId="33" fillId="0" borderId="16" xfId="5" applyNumberFormat="1" applyFont="1" applyFill="1" applyBorder="1" applyAlignment="1">
      <alignment horizontal="center"/>
    </xf>
    <xf numFmtId="165" fontId="8" fillId="0" borderId="15" xfId="2" applyNumberFormat="1" applyFont="1" applyFill="1" applyBorder="1"/>
    <xf numFmtId="165" fontId="8" fillId="0" borderId="16" xfId="2" applyNumberFormat="1" applyFont="1" applyFill="1" applyBorder="1"/>
    <xf numFmtId="4" fontId="8" fillId="0" borderId="13" xfId="5" applyNumberFormat="1" applyFont="1" applyFill="1" applyBorder="1" applyAlignment="1">
      <alignment horizontal="center"/>
    </xf>
    <xf numFmtId="4" fontId="8" fillId="0" borderId="14" xfId="5" applyNumberFormat="1" applyFont="1" applyFill="1" applyBorder="1" applyAlignment="1">
      <alignment horizontal="center"/>
    </xf>
    <xf numFmtId="3" fontId="8" fillId="0" borderId="13" xfId="5" applyNumberFormat="1" applyFont="1" applyFill="1" applyBorder="1" applyAlignment="1">
      <alignment horizontal="center"/>
    </xf>
    <xf numFmtId="3" fontId="8" fillId="0" borderId="14" xfId="5" applyNumberFormat="1" applyFont="1" applyFill="1" applyBorder="1" applyAlignment="1">
      <alignment horizontal="center"/>
    </xf>
    <xf numFmtId="165" fontId="33" fillId="0" borderId="13" xfId="2" applyNumberFormat="1" applyFont="1" applyFill="1" applyBorder="1"/>
    <xf numFmtId="165" fontId="33" fillId="0" borderId="14" xfId="2" applyNumberFormat="1" applyFont="1" applyFill="1" applyBorder="1"/>
    <xf numFmtId="0" fontId="33" fillId="0" borderId="0" xfId="5" applyFont="1" applyFill="1" applyBorder="1"/>
    <xf numFmtId="0" fontId="33" fillId="0" borderId="0" xfId="5" applyFont="1" applyFill="1" applyBorder="1" applyAlignment="1">
      <alignment horizontal="center"/>
    </xf>
    <xf numFmtId="165" fontId="28" fillId="0" borderId="0" xfId="2" applyNumberFormat="1" applyFont="1" applyFill="1" applyBorder="1"/>
    <xf numFmtId="165" fontId="34" fillId="0" borderId="0" xfId="5" applyNumberFormat="1" applyFont="1" applyFill="1" applyBorder="1"/>
    <xf numFmtId="165" fontId="29" fillId="0" borderId="0" xfId="5" applyNumberFormat="1" applyFont="1" applyFill="1" applyBorder="1"/>
    <xf numFmtId="165" fontId="20" fillId="0" borderId="0" xfId="5" applyNumberFormat="1" applyFont="1" applyFill="1" applyBorder="1"/>
    <xf numFmtId="0" fontId="8" fillId="0" borderId="0" xfId="5" applyFont="1" applyFill="1" applyBorder="1" applyAlignment="1">
      <alignment horizontal="right"/>
    </xf>
  </cellXfs>
  <cellStyles count="8">
    <cellStyle name="Comma" xfId="1" builtinId="3"/>
    <cellStyle name="Currency" xfId="2" builtinId="4"/>
    <cellStyle name="Hyperlink" xfId="3" builtinId="8"/>
    <cellStyle name="Normal" xfId="0" builtinId="0"/>
    <cellStyle name="Normal_$newRAM" xfId="6"/>
    <cellStyle name="Normal_$newRAM_20091116" xfId="4"/>
    <cellStyle name="Normal__REP settlement benefits (2)" xfId="7"/>
    <cellStyle name="Normal_ActiveExchange3" xfId="5"/>
  </cellStyles>
  <dxfs count="14"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ont>
        <b/>
        <i/>
        <condense val="0"/>
        <extend val="0"/>
        <color rgb="FFFF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zoomScale="70" zoomScaleNormal="70" workbookViewId="0">
      <selection activeCell="M46" sqref="M46"/>
    </sheetView>
  </sheetViews>
  <sheetFormatPr defaultColWidth="9.140625" defaultRowHeight="12.75" x14ac:dyDescent="0.2"/>
  <cols>
    <col min="1" max="1" width="5.28515625" style="52" bestFit="1" customWidth="1"/>
    <col min="2" max="2" width="35.7109375" style="52" customWidth="1"/>
    <col min="3" max="3" width="2.85546875" style="52" hidden="1" customWidth="1"/>
    <col min="4" max="4" width="13.7109375" style="52" customWidth="1"/>
    <col min="5" max="5" width="13.42578125" style="52" customWidth="1"/>
    <col min="6" max="6" width="13.85546875" style="52" customWidth="1"/>
    <col min="7" max="7" width="13.28515625" style="52" customWidth="1"/>
    <col min="8" max="8" width="13.140625" style="52" customWidth="1"/>
    <col min="9" max="9" width="17.85546875" style="52" customWidth="1"/>
    <col min="10" max="10" width="13.85546875" style="52" customWidth="1"/>
    <col min="11" max="11" width="12.85546875" style="52" customWidth="1"/>
    <col min="12" max="12" width="13.7109375" style="52" customWidth="1"/>
    <col min="13" max="13" width="12.42578125" style="52" customWidth="1"/>
    <col min="14" max="14" width="14.28515625" style="52" customWidth="1"/>
    <col min="15" max="15" width="13" style="52" customWidth="1"/>
    <col min="16" max="16" width="13.85546875" style="52" customWidth="1"/>
    <col min="17" max="17" width="20.140625" style="52" bestFit="1" customWidth="1"/>
    <col min="18" max="16384" width="9.140625" style="52"/>
  </cols>
  <sheetData>
    <row r="1" spans="1:21" ht="18.75" x14ac:dyDescent="0.3">
      <c r="A1" s="1"/>
      <c r="B1" s="2" t="s">
        <v>21</v>
      </c>
      <c r="C1" s="2"/>
      <c r="D1" s="3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Q1" s="53" t="s">
        <v>20</v>
      </c>
      <c r="R1" s="51"/>
      <c r="S1" s="51"/>
      <c r="T1" s="51"/>
      <c r="U1" s="51"/>
    </row>
    <row r="2" spans="1:21" x14ac:dyDescent="0.2">
      <c r="A2" s="5" t="s">
        <v>108</v>
      </c>
      <c r="B2" s="6" t="s">
        <v>110</v>
      </c>
      <c r="C2" s="7"/>
      <c r="D2" s="3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0.25" x14ac:dyDescent="0.3">
      <c r="A3" s="8" t="s">
        <v>109</v>
      </c>
      <c r="C3" s="54"/>
      <c r="D3" s="55"/>
      <c r="E3" s="51"/>
      <c r="F3" s="56"/>
      <c r="G3" s="56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5.75" x14ac:dyDescent="0.25">
      <c r="B4" s="38" t="s">
        <v>22</v>
      </c>
      <c r="C4" s="38"/>
      <c r="D4" s="39"/>
      <c r="E4" s="39"/>
      <c r="F4" s="57">
        <v>2022</v>
      </c>
      <c r="G4" s="57">
        <v>2023</v>
      </c>
      <c r="H4" s="39" t="s">
        <v>23</v>
      </c>
      <c r="I4" s="39"/>
      <c r="J4" s="39"/>
      <c r="K4" s="39"/>
      <c r="L4" s="39" t="s">
        <v>24</v>
      </c>
      <c r="M4" s="39" t="s">
        <v>25</v>
      </c>
      <c r="N4" s="39" t="s">
        <v>24</v>
      </c>
      <c r="O4" s="39" t="s">
        <v>24</v>
      </c>
      <c r="P4" s="39" t="s">
        <v>24</v>
      </c>
      <c r="Q4" s="58"/>
      <c r="R4" s="58"/>
      <c r="S4" s="58"/>
      <c r="T4" s="58"/>
      <c r="U4" s="58"/>
    </row>
    <row r="5" spans="1:21" ht="15.75" x14ac:dyDescent="0.25">
      <c r="B5" s="37"/>
      <c r="C5" s="37"/>
      <c r="D5" s="39"/>
      <c r="E5" s="39" t="s">
        <v>26</v>
      </c>
      <c r="F5" s="39" t="s">
        <v>27</v>
      </c>
      <c r="G5" s="39" t="s">
        <v>27</v>
      </c>
      <c r="H5" s="39" t="s">
        <v>27</v>
      </c>
      <c r="I5" s="39" t="s">
        <v>28</v>
      </c>
      <c r="J5" s="39" t="s">
        <v>29</v>
      </c>
      <c r="K5" s="39" t="s">
        <v>25</v>
      </c>
      <c r="L5" s="39" t="s">
        <v>30</v>
      </c>
      <c r="M5" s="39" t="s">
        <v>31</v>
      </c>
      <c r="N5" s="59" t="s">
        <v>32</v>
      </c>
      <c r="O5" s="39" t="s">
        <v>33</v>
      </c>
      <c r="P5" s="39" t="s">
        <v>34</v>
      </c>
      <c r="Q5" s="58"/>
      <c r="R5" s="58"/>
      <c r="S5" s="58"/>
      <c r="T5" s="58"/>
      <c r="U5" s="58"/>
    </row>
    <row r="6" spans="1:21" ht="15.75" x14ac:dyDescent="0.25">
      <c r="B6" s="37"/>
      <c r="C6" s="37"/>
      <c r="D6" s="39" t="s">
        <v>35</v>
      </c>
      <c r="E6" s="39" t="s">
        <v>36</v>
      </c>
      <c r="F6" s="39" t="s">
        <v>37</v>
      </c>
      <c r="G6" s="39" t="s">
        <v>37</v>
      </c>
      <c r="H6" s="39" t="s">
        <v>37</v>
      </c>
      <c r="I6" s="39" t="s">
        <v>38</v>
      </c>
      <c r="J6" s="39" t="s">
        <v>39</v>
      </c>
      <c r="K6" s="39" t="s">
        <v>39</v>
      </c>
      <c r="L6" s="39" t="s">
        <v>40</v>
      </c>
      <c r="M6" s="39" t="s">
        <v>40</v>
      </c>
      <c r="N6" s="39" t="s">
        <v>41</v>
      </c>
      <c r="O6" s="39" t="s">
        <v>36</v>
      </c>
      <c r="P6" s="39" t="s">
        <v>38</v>
      </c>
      <c r="Q6" s="58"/>
      <c r="R6" s="58"/>
      <c r="S6" s="58"/>
      <c r="T6" s="58"/>
      <c r="U6" s="58"/>
    </row>
    <row r="7" spans="1:21" ht="15.75" x14ac:dyDescent="0.25">
      <c r="B7" s="60"/>
      <c r="C7" s="60"/>
      <c r="D7" s="61" t="s">
        <v>42</v>
      </c>
      <c r="E7" s="61" t="s">
        <v>43</v>
      </c>
      <c r="F7" s="61" t="s">
        <v>44</v>
      </c>
      <c r="G7" s="61" t="s">
        <v>45</v>
      </c>
      <c r="H7" s="61" t="s">
        <v>46</v>
      </c>
      <c r="I7" s="61" t="s">
        <v>47</v>
      </c>
      <c r="J7" s="61" t="s">
        <v>48</v>
      </c>
      <c r="K7" s="61" t="s">
        <v>49</v>
      </c>
      <c r="L7" s="61" t="s">
        <v>50</v>
      </c>
      <c r="M7" s="61" t="s">
        <v>51</v>
      </c>
      <c r="N7" s="61" t="s">
        <v>52</v>
      </c>
      <c r="O7" s="61" t="s">
        <v>53</v>
      </c>
      <c r="P7" s="61" t="s">
        <v>54</v>
      </c>
      <c r="Q7" s="58"/>
      <c r="R7" s="58"/>
      <c r="S7" s="58"/>
      <c r="T7" s="58"/>
      <c r="U7" s="58"/>
    </row>
    <row r="8" spans="1:21" ht="15.75" x14ac:dyDescent="0.25">
      <c r="B8" s="37" t="s">
        <v>6</v>
      </c>
      <c r="C8" s="37">
        <v>1</v>
      </c>
      <c r="D8" s="37">
        <v>62.93</v>
      </c>
      <c r="E8" s="62">
        <v>49.542532000000001</v>
      </c>
      <c r="F8" s="63">
        <v>3971.4598799999999</v>
      </c>
      <c r="G8" s="63">
        <v>3971.4598799999999</v>
      </c>
      <c r="H8" s="63">
        <f>MAX(AVERAGE(F8:G8),0.0001)</f>
        <v>3971.4598799999999</v>
      </c>
      <c r="I8" s="64">
        <f>MAX((D8-E8)*H8,0)</f>
        <v>53167.79205678383</v>
      </c>
      <c r="J8" s="37"/>
      <c r="K8" s="37"/>
      <c r="L8" s="64">
        <f t="shared" ref="L8:L16" si="0">$L$17*(I8/$I$17)</f>
        <v>35222.455332884689</v>
      </c>
      <c r="M8" s="65">
        <f t="shared" ref="M8:M13" si="1">$M$17*(I8/$I$19)</f>
        <v>0</v>
      </c>
      <c r="N8" s="62">
        <f t="shared" ref="N8:N16" si="2">IF(H8=0,0,(L8+M8)/H8)</f>
        <v>8.8688936555201181</v>
      </c>
      <c r="O8" s="62">
        <f t="shared" ref="O8:O16" si="3">E8+N8</f>
        <v>58.411425655520119</v>
      </c>
      <c r="P8" s="64">
        <f>MAX((D8-O8)*H8,0)</f>
        <v>17945.336723899145</v>
      </c>
      <c r="Q8" s="58"/>
      <c r="R8" s="58"/>
      <c r="S8" s="58"/>
      <c r="T8" s="58"/>
      <c r="U8" s="58"/>
    </row>
    <row r="9" spans="1:21" ht="15.75" x14ac:dyDescent="0.25">
      <c r="B9" s="37" t="s">
        <v>7</v>
      </c>
      <c r="C9" s="37">
        <v>1</v>
      </c>
      <c r="D9" s="37">
        <v>58.17</v>
      </c>
      <c r="E9" s="62">
        <v>49.542532000000001</v>
      </c>
      <c r="F9" s="63">
        <v>6857.0739599999997</v>
      </c>
      <c r="G9" s="63">
        <v>6857.0739599999997</v>
      </c>
      <c r="H9" s="63">
        <f t="shared" ref="H9:H13" si="4">MAX(AVERAGE(F9:G9),0.0001)</f>
        <v>6857.0739599999997</v>
      </c>
      <c r="I9" s="64">
        <f t="shared" ref="I9:I16" si="5">MAX((D9-E9)*H9,0)</f>
        <v>59159.186163533283</v>
      </c>
      <c r="J9" s="37"/>
      <c r="K9" s="37"/>
      <c r="L9" s="64">
        <f t="shared" si="0"/>
        <v>39191.617924427075</v>
      </c>
      <c r="M9" s="65">
        <f t="shared" si="1"/>
        <v>0</v>
      </c>
      <c r="N9" s="62">
        <f t="shared" si="2"/>
        <v>5.7155017071490182</v>
      </c>
      <c r="O9" s="62">
        <f t="shared" si="3"/>
        <v>55.258033707149018</v>
      </c>
      <c r="P9" s="64">
        <f t="shared" ref="P9:P16" si="6">MAX((D9-O9)*H9,0)</f>
        <v>19967.568239106215</v>
      </c>
      <c r="Q9" s="58"/>
      <c r="R9" s="58"/>
      <c r="S9" s="58"/>
      <c r="T9" s="58"/>
      <c r="U9" s="58"/>
    </row>
    <row r="10" spans="1:21" ht="15.75" x14ac:dyDescent="0.25">
      <c r="B10" s="37" t="s">
        <v>8</v>
      </c>
      <c r="C10" s="37">
        <v>1</v>
      </c>
      <c r="D10" s="37">
        <v>68.34</v>
      </c>
      <c r="E10" s="62">
        <v>49.542532000000001</v>
      </c>
      <c r="F10" s="63">
        <v>714.12396000000001</v>
      </c>
      <c r="G10" s="63">
        <v>714.12396000000001</v>
      </c>
      <c r="H10" s="63">
        <f t="shared" si="4"/>
        <v>714.12396000000001</v>
      </c>
      <c r="I10" s="64">
        <f t="shared" si="5"/>
        <v>13423.722286133281</v>
      </c>
      <c r="J10" s="37"/>
      <c r="K10" s="37"/>
      <c r="L10" s="64">
        <f t="shared" si="0"/>
        <v>8892.9112971139493</v>
      </c>
      <c r="M10" s="65">
        <f t="shared" si="1"/>
        <v>0</v>
      </c>
      <c r="N10" s="62">
        <f t="shared" si="2"/>
        <v>12.452895848941896</v>
      </c>
      <c r="O10" s="62">
        <f t="shared" si="3"/>
        <v>61.995427848941901</v>
      </c>
      <c r="P10" s="64">
        <f t="shared" si="6"/>
        <v>4530.81098901933</v>
      </c>
      <c r="Q10" s="58"/>
      <c r="R10" s="58"/>
      <c r="S10" s="58"/>
      <c r="T10" s="58"/>
      <c r="U10" s="58"/>
    </row>
    <row r="11" spans="1:21" ht="15.75" x14ac:dyDescent="0.25">
      <c r="B11" s="37" t="s">
        <v>9</v>
      </c>
      <c r="C11" s="37">
        <v>1</v>
      </c>
      <c r="D11" s="37">
        <v>77.61</v>
      </c>
      <c r="E11" s="62">
        <v>49.542532000000001</v>
      </c>
      <c r="F11" s="63">
        <v>9147.1569599999984</v>
      </c>
      <c r="G11" s="63">
        <v>9147.1569599999984</v>
      </c>
      <c r="H11" s="63">
        <f t="shared" si="4"/>
        <v>9147.1569599999984</v>
      </c>
      <c r="I11" s="64">
        <f t="shared" si="5"/>
        <v>256737.53526577723</v>
      </c>
      <c r="J11" s="37"/>
      <c r="K11" s="37"/>
      <c r="L11" s="64">
        <f t="shared" si="0"/>
        <v>170082.78919154275</v>
      </c>
      <c r="M11" s="65">
        <f t="shared" si="1"/>
        <v>0</v>
      </c>
      <c r="N11" s="62">
        <f t="shared" si="2"/>
        <v>18.594060420664604</v>
      </c>
      <c r="O11" s="62">
        <f t="shared" si="3"/>
        <v>68.136592420664613</v>
      </c>
      <c r="P11" s="64">
        <f t="shared" si="6"/>
        <v>86654.746074234426</v>
      </c>
      <c r="Q11" s="58"/>
      <c r="R11" s="58"/>
      <c r="S11" s="58"/>
      <c r="T11" s="58"/>
      <c r="U11" s="58"/>
    </row>
    <row r="12" spans="1:21" ht="15.75" x14ac:dyDescent="0.25">
      <c r="B12" s="37" t="s">
        <v>10</v>
      </c>
      <c r="C12" s="37">
        <v>1</v>
      </c>
      <c r="D12" s="37">
        <v>70.09</v>
      </c>
      <c r="E12" s="62">
        <v>49.542532000000001</v>
      </c>
      <c r="F12" s="66">
        <v>8412.7886400000007</v>
      </c>
      <c r="G12" s="66">
        <v>8412.7886400000007</v>
      </c>
      <c r="H12" s="66">
        <f t="shared" si="4"/>
        <v>8412.7886400000007</v>
      </c>
      <c r="I12" s="64">
        <f t="shared" si="5"/>
        <v>172861.50537116354</v>
      </c>
      <c r="J12" s="37"/>
      <c r="K12" s="37"/>
      <c r="L12" s="64">
        <f t="shared" si="0"/>
        <v>114516.82336570061</v>
      </c>
      <c r="M12" s="65">
        <f t="shared" si="1"/>
        <v>0</v>
      </c>
      <c r="N12" s="62">
        <f t="shared" si="2"/>
        <v>13.612231124078329</v>
      </c>
      <c r="O12" s="62">
        <f t="shared" si="3"/>
        <v>63.154763124078329</v>
      </c>
      <c r="P12" s="64">
        <f t="shared" si="6"/>
        <v>58344.682005462957</v>
      </c>
      <c r="Q12" s="58"/>
      <c r="R12" s="58"/>
      <c r="S12" s="58"/>
      <c r="T12" s="58"/>
      <c r="U12" s="58"/>
    </row>
    <row r="13" spans="1:21" ht="15.75" x14ac:dyDescent="0.25">
      <c r="B13" s="37" t="s">
        <v>11</v>
      </c>
      <c r="C13" s="37">
        <v>1</v>
      </c>
      <c r="D13" s="37">
        <v>67.28</v>
      </c>
      <c r="E13" s="62">
        <v>49.542532000000001</v>
      </c>
      <c r="F13" s="63">
        <v>11952.44184</v>
      </c>
      <c r="G13" s="63">
        <v>11952.44184</v>
      </c>
      <c r="H13" s="63">
        <f t="shared" si="4"/>
        <v>11952.44184</v>
      </c>
      <c r="I13" s="64">
        <f t="shared" si="5"/>
        <v>212006.0546588611</v>
      </c>
      <c r="J13" s="37"/>
      <c r="K13" s="37"/>
      <c r="L13" s="64">
        <f t="shared" si="0"/>
        <v>140449.19869058323</v>
      </c>
      <c r="M13" s="65">
        <f t="shared" si="1"/>
        <v>0</v>
      </c>
      <c r="N13" s="62">
        <f t="shared" si="2"/>
        <v>11.750669910859255</v>
      </c>
      <c r="O13" s="62">
        <f t="shared" si="3"/>
        <v>61.293201910859253</v>
      </c>
      <c r="P13" s="64">
        <f t="shared" si="6"/>
        <v>71556.855968277931</v>
      </c>
      <c r="Q13" s="58"/>
      <c r="R13" s="58"/>
      <c r="S13" s="58"/>
      <c r="T13" s="58"/>
      <c r="U13" s="58"/>
    </row>
    <row r="14" spans="1:21" ht="15.75" x14ac:dyDescent="0.25">
      <c r="B14" s="67" t="s">
        <v>12</v>
      </c>
      <c r="C14" s="67">
        <v>0</v>
      </c>
      <c r="D14" s="67">
        <v>0</v>
      </c>
      <c r="E14" s="68">
        <v>0</v>
      </c>
      <c r="F14" s="69">
        <v>0</v>
      </c>
      <c r="G14" s="69">
        <v>0</v>
      </c>
      <c r="H14" s="69">
        <f t="shared" ref="H14:H16" si="7">AVERAGE(F14:G14)</f>
        <v>0</v>
      </c>
      <c r="I14" s="70">
        <f t="shared" si="5"/>
        <v>0</v>
      </c>
      <c r="J14" s="67"/>
      <c r="K14" s="67"/>
      <c r="L14" s="70">
        <f t="shared" si="0"/>
        <v>0</v>
      </c>
      <c r="M14" s="67"/>
      <c r="N14" s="68">
        <f t="shared" si="2"/>
        <v>0</v>
      </c>
      <c r="O14" s="68">
        <f t="shared" si="3"/>
        <v>0</v>
      </c>
      <c r="P14" s="70">
        <f t="shared" si="6"/>
        <v>0</v>
      </c>
      <c r="Q14" s="58"/>
      <c r="R14" s="58"/>
      <c r="S14" s="58"/>
      <c r="T14" s="58"/>
      <c r="U14" s="58"/>
    </row>
    <row r="15" spans="1:21" ht="15.75" x14ac:dyDescent="0.25">
      <c r="B15" s="37" t="s">
        <v>13</v>
      </c>
      <c r="C15" s="37">
        <v>0</v>
      </c>
      <c r="D15" s="37">
        <v>0</v>
      </c>
      <c r="E15" s="71">
        <v>0</v>
      </c>
      <c r="F15" s="63">
        <v>0</v>
      </c>
      <c r="G15" s="63">
        <v>0</v>
      </c>
      <c r="H15" s="63">
        <f t="shared" si="7"/>
        <v>0</v>
      </c>
      <c r="I15" s="65">
        <f t="shared" si="5"/>
        <v>0</v>
      </c>
      <c r="J15" s="37"/>
      <c r="K15" s="37"/>
      <c r="L15" s="65">
        <f t="shared" si="0"/>
        <v>0</v>
      </c>
      <c r="M15" s="37"/>
      <c r="N15" s="71">
        <f t="shared" si="2"/>
        <v>0</v>
      </c>
      <c r="O15" s="71">
        <f t="shared" si="3"/>
        <v>0</v>
      </c>
      <c r="P15" s="65">
        <f t="shared" si="6"/>
        <v>0</v>
      </c>
      <c r="Q15" s="58"/>
      <c r="R15" s="58"/>
      <c r="S15" s="58"/>
      <c r="T15" s="58"/>
      <c r="U15" s="58"/>
    </row>
    <row r="16" spans="1:21" ht="15.75" x14ac:dyDescent="0.25">
      <c r="B16" s="37" t="s">
        <v>14</v>
      </c>
      <c r="C16" s="37">
        <v>1</v>
      </c>
      <c r="D16" s="71">
        <v>55.83</v>
      </c>
      <c r="E16" s="62">
        <v>49.717416</v>
      </c>
      <c r="F16" s="63">
        <v>3714.5686102874629</v>
      </c>
      <c r="G16" s="63">
        <v>3730.5686399999995</v>
      </c>
      <c r="H16" s="63">
        <f t="shared" si="7"/>
        <v>3722.568625143731</v>
      </c>
      <c r="I16" s="64">
        <f t="shared" si="5"/>
        <v>22754.51341695556</v>
      </c>
      <c r="J16" s="37"/>
      <c r="K16" s="37"/>
      <c r="L16" s="64">
        <f t="shared" si="0"/>
        <v>15074.348613052491</v>
      </c>
      <c r="M16" s="37"/>
      <c r="N16" s="62">
        <f t="shared" si="2"/>
        <v>4.0494481448197508</v>
      </c>
      <c r="O16" s="62">
        <f t="shared" si="3"/>
        <v>53.766864144819749</v>
      </c>
      <c r="P16" s="64">
        <f t="shared" si="6"/>
        <v>7680.1648039030761</v>
      </c>
      <c r="Q16" s="58"/>
      <c r="R16" s="58"/>
      <c r="S16" s="58"/>
      <c r="T16" s="58"/>
      <c r="U16" s="58"/>
    </row>
    <row r="17" spans="2:21" ht="15.75" x14ac:dyDescent="0.25">
      <c r="B17" s="72" t="s">
        <v>55</v>
      </c>
      <c r="C17" s="72"/>
      <c r="D17" s="72"/>
      <c r="E17" s="72"/>
      <c r="F17" s="73">
        <f>SUM(F8:F16)</f>
        <v>44769.61385028746</v>
      </c>
      <c r="G17" s="73">
        <f>SUM(G8:G16)</f>
        <v>44785.613879999997</v>
      </c>
      <c r="H17" s="73">
        <f>SUM(H8:H16)</f>
        <v>44777.613865143729</v>
      </c>
      <c r="I17" s="74">
        <f>SUM(I8:I16)</f>
        <v>790110.30921920796</v>
      </c>
      <c r="J17" s="75">
        <v>259000</v>
      </c>
      <c r="K17" s="75">
        <v>0</v>
      </c>
      <c r="L17" s="74">
        <f>SUM(L19:L20)</f>
        <v>523430.14441530488</v>
      </c>
      <c r="M17" s="75">
        <f>K17</f>
        <v>0</v>
      </c>
      <c r="N17" s="72"/>
      <c r="O17" s="72"/>
      <c r="P17" s="74">
        <f>SUM(P8:P16)</f>
        <v>266680.16480390308</v>
      </c>
      <c r="Q17" s="58"/>
      <c r="R17" s="58"/>
      <c r="S17" s="58"/>
      <c r="T17" s="58"/>
      <c r="U17" s="58"/>
    </row>
    <row r="18" spans="2:21" ht="15.75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58"/>
      <c r="R18" s="58"/>
      <c r="S18" s="58"/>
      <c r="T18" s="58"/>
      <c r="U18" s="58"/>
    </row>
    <row r="19" spans="2:21" ht="15.75" x14ac:dyDescent="0.25">
      <c r="B19" s="76" t="s">
        <v>56</v>
      </c>
      <c r="C19" s="77">
        <f>C66</f>
        <v>2</v>
      </c>
      <c r="D19" s="78" t="s">
        <v>57</v>
      </c>
      <c r="E19" s="79">
        <f>(L33-J17)*1000</f>
        <v>-947.53119998495094</v>
      </c>
      <c r="F19" s="37"/>
      <c r="G19" s="37"/>
      <c r="H19" s="80" t="s">
        <v>58</v>
      </c>
      <c r="I19" s="81">
        <f>SUM(I8:I13)</f>
        <v>767355.79580225237</v>
      </c>
      <c r="J19" s="75">
        <f>J17</f>
        <v>259000</v>
      </c>
      <c r="K19" s="75">
        <f>J19+K17</f>
        <v>259000</v>
      </c>
      <c r="L19" s="82">
        <f>I19-K19</f>
        <v>508355.79580225237</v>
      </c>
      <c r="M19" s="37" t="s">
        <v>59</v>
      </c>
      <c r="N19" s="37"/>
      <c r="O19" s="37" t="s">
        <v>60</v>
      </c>
      <c r="P19" s="42">
        <f>SUM(P8:P13)</f>
        <v>259000</v>
      </c>
      <c r="Q19" s="58"/>
      <c r="R19" s="58"/>
      <c r="S19" s="58"/>
      <c r="T19" s="58"/>
      <c r="U19" s="58"/>
    </row>
    <row r="20" spans="2:21" ht="15.75" x14ac:dyDescent="0.25">
      <c r="B20" s="37"/>
      <c r="C20" s="37"/>
      <c r="D20" s="37"/>
      <c r="E20" s="37"/>
      <c r="F20" s="37"/>
      <c r="G20" s="37"/>
      <c r="H20" s="80" t="s">
        <v>61</v>
      </c>
      <c r="I20" s="83">
        <f>SUM(I14:I16)</f>
        <v>22754.51341695556</v>
      </c>
      <c r="J20" s="84"/>
      <c r="K20" s="85">
        <f>I20*(K19/I19)</f>
        <v>7680.1648039030697</v>
      </c>
      <c r="L20" s="86">
        <f>I20-K20</f>
        <v>15074.348613052491</v>
      </c>
      <c r="M20" s="37" t="s">
        <v>62</v>
      </c>
      <c r="N20" s="37"/>
      <c r="O20" s="37" t="s">
        <v>63</v>
      </c>
      <c r="P20" s="50">
        <f>SUM(P14:P16)</f>
        <v>7680.1648039030761</v>
      </c>
      <c r="Q20" s="58"/>
      <c r="R20" s="58"/>
      <c r="S20" s="58"/>
      <c r="T20" s="58"/>
      <c r="U20" s="58"/>
    </row>
    <row r="21" spans="2:21" ht="15.75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58"/>
      <c r="Q21" s="58"/>
      <c r="R21" s="58"/>
      <c r="S21" s="58"/>
      <c r="T21" s="58"/>
      <c r="U21" s="58"/>
    </row>
    <row r="22" spans="2:21" ht="15.75" x14ac:dyDescent="0.25">
      <c r="B22" s="38" t="s">
        <v>64</v>
      </c>
      <c r="C22" s="38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58"/>
      <c r="Q22" s="58"/>
      <c r="R22" s="58"/>
      <c r="S22" s="58"/>
      <c r="T22" s="58"/>
      <c r="U22" s="58"/>
    </row>
    <row r="23" spans="2:21" ht="15.75" x14ac:dyDescent="0.25">
      <c r="B23" s="37"/>
      <c r="C23" s="37"/>
      <c r="D23" s="59" t="s">
        <v>24</v>
      </c>
      <c r="E23" s="87"/>
      <c r="F23" s="87"/>
      <c r="G23" s="87"/>
      <c r="H23" s="59" t="s">
        <v>65</v>
      </c>
      <c r="I23" s="59" t="s">
        <v>65</v>
      </c>
      <c r="J23" s="59" t="s">
        <v>65</v>
      </c>
      <c r="K23" s="59"/>
      <c r="L23" s="59" t="s">
        <v>65</v>
      </c>
      <c r="M23" s="87"/>
      <c r="N23" s="87"/>
      <c r="O23" s="57">
        <v>2022</v>
      </c>
      <c r="P23" s="57">
        <v>2023</v>
      </c>
      <c r="Q23" s="58"/>
      <c r="R23" s="58"/>
      <c r="S23" s="58"/>
      <c r="T23" s="58"/>
      <c r="U23" s="58"/>
    </row>
    <row r="24" spans="2:21" ht="15.75" x14ac:dyDescent="0.25">
      <c r="B24" s="37"/>
      <c r="C24" s="37"/>
      <c r="D24" s="59" t="s">
        <v>34</v>
      </c>
      <c r="E24" s="59" t="s">
        <v>66</v>
      </c>
      <c r="F24" s="59" t="s">
        <v>67</v>
      </c>
      <c r="G24" s="59" t="s">
        <v>68</v>
      </c>
      <c r="H24" s="59" t="s">
        <v>30</v>
      </c>
      <c r="I24" s="59" t="s">
        <v>32</v>
      </c>
      <c r="J24" s="59" t="s">
        <v>33</v>
      </c>
      <c r="K24" s="59"/>
      <c r="L24" s="59" t="s">
        <v>34</v>
      </c>
      <c r="M24" s="87"/>
      <c r="N24" s="87"/>
      <c r="O24" s="59" t="s">
        <v>34</v>
      </c>
      <c r="P24" s="59" t="s">
        <v>34</v>
      </c>
      <c r="Q24" s="58"/>
      <c r="R24" s="58"/>
      <c r="S24" s="58"/>
      <c r="T24" s="58"/>
      <c r="U24" s="58"/>
    </row>
    <row r="25" spans="2:21" ht="15.75" x14ac:dyDescent="0.25">
      <c r="B25" s="37"/>
      <c r="C25" s="37"/>
      <c r="D25" s="59" t="s">
        <v>38</v>
      </c>
      <c r="E25" s="59" t="s">
        <v>69</v>
      </c>
      <c r="F25" s="59" t="s">
        <v>69</v>
      </c>
      <c r="G25" s="59" t="s">
        <v>38</v>
      </c>
      <c r="H25" s="59" t="s">
        <v>40</v>
      </c>
      <c r="I25" s="59" t="s">
        <v>41</v>
      </c>
      <c r="J25" s="59" t="s">
        <v>36</v>
      </c>
      <c r="K25" s="59"/>
      <c r="L25" s="59" t="s">
        <v>38</v>
      </c>
      <c r="M25" s="87"/>
      <c r="N25" s="87"/>
      <c r="O25" s="59" t="s">
        <v>38</v>
      </c>
      <c r="P25" s="59" t="s">
        <v>38</v>
      </c>
      <c r="Q25" s="58"/>
      <c r="R25" s="58"/>
      <c r="S25" s="58"/>
      <c r="T25" s="58"/>
      <c r="U25" s="58"/>
    </row>
    <row r="26" spans="2:21" ht="15.75" x14ac:dyDescent="0.25">
      <c r="B26" s="60"/>
      <c r="C26" s="60"/>
      <c r="D26" s="88" t="s">
        <v>70</v>
      </c>
      <c r="E26" s="88" t="s">
        <v>71</v>
      </c>
      <c r="F26" s="88" t="s">
        <v>72</v>
      </c>
      <c r="G26" s="88" t="s">
        <v>73</v>
      </c>
      <c r="H26" s="88" t="s">
        <v>74</v>
      </c>
      <c r="I26" s="88" t="s">
        <v>75</v>
      </c>
      <c r="J26" s="88" t="s">
        <v>76</v>
      </c>
      <c r="K26" s="88"/>
      <c r="L26" s="88" t="s">
        <v>77</v>
      </c>
      <c r="M26" s="87"/>
      <c r="N26" s="87"/>
      <c r="O26" s="88" t="s">
        <v>78</v>
      </c>
      <c r="P26" s="88" t="s">
        <v>79</v>
      </c>
      <c r="Q26" s="58"/>
      <c r="R26" s="58"/>
      <c r="S26" s="58"/>
      <c r="T26" s="58"/>
      <c r="U26" s="58"/>
    </row>
    <row r="27" spans="2:21" ht="15.75" x14ac:dyDescent="0.25">
      <c r="B27" s="37" t="str">
        <f t="shared" ref="B27:B32" si="8">B8</f>
        <v>Avista Corporation</v>
      </c>
      <c r="C27" s="37"/>
      <c r="D27" s="64">
        <f t="shared" ref="D27:D32" si="9">P8</f>
        <v>17945.336723899145</v>
      </c>
      <c r="E27" s="65">
        <v>2004.778</v>
      </c>
      <c r="F27" s="42">
        <f>J41</f>
        <v>0</v>
      </c>
      <c r="G27" s="50">
        <f t="shared" ref="G27:G32" si="10">D27-E27+F27</f>
        <v>15940.558723899145</v>
      </c>
      <c r="H27" s="50">
        <f t="shared" ref="H27:H32" si="11">I8-G27</f>
        <v>37227.233332884687</v>
      </c>
      <c r="I27" s="62">
        <f t="shared" ref="I27:I32" si="12">H27/H8</f>
        <v>9.3736898918099332</v>
      </c>
      <c r="J27" s="89">
        <f t="shared" ref="J27:J32" si="13">ROUND(E8+I27,$C$19)</f>
        <v>58.92</v>
      </c>
      <c r="K27" s="37"/>
      <c r="L27" s="50">
        <f t="shared" ref="L27:L32" si="14">MAX((D8-J27)*H8,0)</f>
        <v>15925.554118799992</v>
      </c>
      <c r="M27" s="37"/>
      <c r="N27" s="37" t="s">
        <v>80</v>
      </c>
      <c r="O27" s="50">
        <f t="shared" ref="O27:O32" si="15">MAX((D8-J27)*F8,0)</f>
        <v>15925.554118799992</v>
      </c>
      <c r="P27" s="50">
        <f t="shared" ref="P27:P32" si="16">MAX((D8-J27)*G8,0)</f>
        <v>15925.554118799992</v>
      </c>
      <c r="Q27" s="58"/>
      <c r="R27" s="58"/>
      <c r="S27" s="58"/>
      <c r="T27" s="58"/>
      <c r="U27" s="58"/>
    </row>
    <row r="28" spans="2:21" ht="15.75" x14ac:dyDescent="0.25">
      <c r="B28" s="37" t="str">
        <f t="shared" si="8"/>
        <v>Idaho Power Company</v>
      </c>
      <c r="C28" s="37"/>
      <c r="D28" s="64">
        <f t="shared" si="9"/>
        <v>19967.568239106215</v>
      </c>
      <c r="E28" s="65">
        <v>0</v>
      </c>
      <c r="F28" s="42">
        <f t="shared" ref="F28:F32" si="17">J42</f>
        <v>0</v>
      </c>
      <c r="G28" s="50">
        <f t="shared" si="10"/>
        <v>19967.568239106215</v>
      </c>
      <c r="H28" s="50">
        <f t="shared" si="11"/>
        <v>39191.617924427068</v>
      </c>
      <c r="I28" s="62">
        <f t="shared" si="12"/>
        <v>5.7155017071490173</v>
      </c>
      <c r="J28" s="89">
        <f t="shared" si="13"/>
        <v>55.26</v>
      </c>
      <c r="K28" s="37"/>
      <c r="L28" s="50">
        <f t="shared" si="14"/>
        <v>19954.085223600025</v>
      </c>
      <c r="M28" s="37"/>
      <c r="N28" s="37" t="s">
        <v>81</v>
      </c>
      <c r="O28" s="50">
        <f t="shared" si="15"/>
        <v>19954.085223600025</v>
      </c>
      <c r="P28" s="50">
        <f t="shared" si="16"/>
        <v>19954.085223600025</v>
      </c>
      <c r="Q28" s="58"/>
      <c r="R28" s="58"/>
      <c r="S28" s="58"/>
      <c r="T28" s="58"/>
      <c r="U28" s="58"/>
    </row>
    <row r="29" spans="2:21" ht="15.75" x14ac:dyDescent="0.25">
      <c r="B29" s="37" t="str">
        <f t="shared" si="8"/>
        <v>NorthWestern Energy, LLC</v>
      </c>
      <c r="C29" s="37"/>
      <c r="D29" s="64">
        <f t="shared" si="9"/>
        <v>4530.81098901933</v>
      </c>
      <c r="E29" s="65">
        <v>0</v>
      </c>
      <c r="F29" s="50">
        <f t="shared" si="17"/>
        <v>67.567592644389535</v>
      </c>
      <c r="G29" s="50">
        <f t="shared" si="10"/>
        <v>4598.3785816637192</v>
      </c>
      <c r="H29" s="50">
        <f t="shared" si="11"/>
        <v>8825.343704469562</v>
      </c>
      <c r="I29" s="62">
        <f t="shared" si="12"/>
        <v>12.35827979286616</v>
      </c>
      <c r="J29" s="89">
        <f t="shared" si="13"/>
        <v>61.9</v>
      </c>
      <c r="K29" s="37"/>
      <c r="L29" s="50">
        <f t="shared" si="14"/>
        <v>4598.958302400004</v>
      </c>
      <c r="M29" s="37"/>
      <c r="N29" s="37" t="s">
        <v>82</v>
      </c>
      <c r="O29" s="50">
        <f t="shared" si="15"/>
        <v>4598.958302400004</v>
      </c>
      <c r="P29" s="50">
        <f t="shared" si="16"/>
        <v>4598.958302400004</v>
      </c>
      <c r="Q29" s="58"/>
      <c r="R29" s="58"/>
      <c r="S29" s="58"/>
      <c r="T29" s="58"/>
      <c r="U29" s="58"/>
    </row>
    <row r="30" spans="2:21" ht="15.75" x14ac:dyDescent="0.25">
      <c r="B30" s="37" t="str">
        <f t="shared" si="8"/>
        <v>PacifiCorp</v>
      </c>
      <c r="C30" s="37"/>
      <c r="D30" s="64">
        <f t="shared" si="9"/>
        <v>86654.746074234426</v>
      </c>
      <c r="E30" s="65">
        <v>0</v>
      </c>
      <c r="F30" s="42">
        <f t="shared" si="17"/>
        <v>0</v>
      </c>
      <c r="G30" s="50">
        <f t="shared" si="10"/>
        <v>86654.746074234426</v>
      </c>
      <c r="H30" s="50">
        <f t="shared" si="11"/>
        <v>170082.7891915428</v>
      </c>
      <c r="I30" s="62">
        <f t="shared" si="12"/>
        <v>18.594060420664611</v>
      </c>
      <c r="J30" s="89">
        <f t="shared" si="13"/>
        <v>68.14</v>
      </c>
      <c r="K30" s="37"/>
      <c r="L30" s="50">
        <f t="shared" si="14"/>
        <v>86623.576411199974</v>
      </c>
      <c r="M30" s="37"/>
      <c r="N30" s="37" t="s">
        <v>9</v>
      </c>
      <c r="O30" s="50">
        <f t="shared" si="15"/>
        <v>86623.576411199974</v>
      </c>
      <c r="P30" s="50">
        <f t="shared" si="16"/>
        <v>86623.576411199974</v>
      </c>
      <c r="Q30" s="58"/>
      <c r="R30" s="58"/>
      <c r="S30" s="58"/>
      <c r="T30" s="58"/>
      <c r="U30" s="58"/>
    </row>
    <row r="31" spans="2:21" ht="15.75" x14ac:dyDescent="0.25">
      <c r="B31" s="37" t="str">
        <f t="shared" si="8"/>
        <v>Portland General Electric Company</v>
      </c>
      <c r="C31" s="37"/>
      <c r="D31" s="64">
        <f t="shared" si="9"/>
        <v>58344.682005462957</v>
      </c>
      <c r="E31" s="65">
        <f>MIN(D31,0)</f>
        <v>0</v>
      </c>
      <c r="F31" s="50">
        <f t="shared" si="17"/>
        <v>870.08919954191936</v>
      </c>
      <c r="G31" s="50">
        <f t="shared" si="10"/>
        <v>59214.771205004879</v>
      </c>
      <c r="H31" s="50">
        <f t="shared" si="11"/>
        <v>113646.73416615865</v>
      </c>
      <c r="I31" s="62">
        <f t="shared" si="12"/>
        <v>13.508806536016653</v>
      </c>
      <c r="J31" s="89">
        <f t="shared" si="13"/>
        <v>63.05</v>
      </c>
      <c r="K31" s="37"/>
      <c r="L31" s="50">
        <f t="shared" si="14"/>
        <v>59226.032025600056</v>
      </c>
      <c r="M31" s="37"/>
      <c r="N31" s="37" t="s">
        <v>83</v>
      </c>
      <c r="O31" s="50">
        <f t="shared" si="15"/>
        <v>59226.032025600056</v>
      </c>
      <c r="P31" s="50">
        <f t="shared" si="16"/>
        <v>59226.032025600056</v>
      </c>
      <c r="Q31" s="58"/>
      <c r="R31" s="58"/>
      <c r="S31" s="58"/>
      <c r="T31" s="58"/>
      <c r="U31" s="58"/>
    </row>
    <row r="32" spans="2:21" ht="15.75" x14ac:dyDescent="0.25">
      <c r="B32" s="37" t="str">
        <f t="shared" si="8"/>
        <v>Puget Sound Energy, Inc.</v>
      </c>
      <c r="C32" s="37"/>
      <c r="D32" s="64">
        <f t="shared" si="9"/>
        <v>71556.855968277931</v>
      </c>
      <c r="E32" s="65">
        <f>MIN(D32,0)</f>
        <v>0</v>
      </c>
      <c r="F32" s="50">
        <f t="shared" si="17"/>
        <v>1067.1212078136912</v>
      </c>
      <c r="G32" s="50">
        <f t="shared" si="10"/>
        <v>72623.977176091619</v>
      </c>
      <c r="H32" s="50">
        <f t="shared" si="11"/>
        <v>139382.0774827695</v>
      </c>
      <c r="I32" s="62">
        <f t="shared" si="12"/>
        <v>11.661389308443562</v>
      </c>
      <c r="J32" s="89">
        <f t="shared" si="13"/>
        <v>61.2</v>
      </c>
      <c r="K32" s="37"/>
      <c r="L32" s="50">
        <f t="shared" si="14"/>
        <v>72670.84638719997</v>
      </c>
      <c r="M32" s="37"/>
      <c r="N32" s="37" t="s">
        <v>84</v>
      </c>
      <c r="O32" s="50">
        <f t="shared" si="15"/>
        <v>72670.84638719997</v>
      </c>
      <c r="P32" s="50">
        <f t="shared" si="16"/>
        <v>72670.84638719997</v>
      </c>
      <c r="Q32" s="58"/>
      <c r="R32" s="58"/>
      <c r="S32" s="58"/>
      <c r="T32" s="58"/>
      <c r="U32" s="58"/>
    </row>
    <row r="33" spans="2:21" ht="15.75" x14ac:dyDescent="0.25">
      <c r="B33" s="37" t="s">
        <v>55</v>
      </c>
      <c r="C33" s="37"/>
      <c r="D33" s="90">
        <f>SUM(D27:D32)</f>
        <v>259000</v>
      </c>
      <c r="E33" s="90">
        <f>SUM(E27:E32)</f>
        <v>2004.778</v>
      </c>
      <c r="F33" s="90">
        <f>SUM(F27:F32)</f>
        <v>2004.778</v>
      </c>
      <c r="G33" s="74">
        <f>SUM(G27:G32)</f>
        <v>259000</v>
      </c>
      <c r="H33" s="74">
        <f>SUM(H27:H32)</f>
        <v>508355.79580225225</v>
      </c>
      <c r="I33" s="90"/>
      <c r="J33" s="90"/>
      <c r="K33" s="90"/>
      <c r="L33" s="74">
        <f>SUM(L27:L32)</f>
        <v>258999.05246880002</v>
      </c>
      <c r="M33" s="37"/>
      <c r="N33" s="37" t="s">
        <v>60</v>
      </c>
      <c r="O33" s="74">
        <f>SUM(O27:O32)</f>
        <v>258999.05246880002</v>
      </c>
      <c r="P33" s="74">
        <f>SUM(P27:P32)</f>
        <v>258999.05246880002</v>
      </c>
      <c r="Q33" s="58"/>
      <c r="R33" s="58"/>
      <c r="S33" s="58"/>
      <c r="T33" s="58"/>
      <c r="U33" s="58"/>
    </row>
    <row r="34" spans="2:21" ht="15.75" x14ac:dyDescent="0.25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58"/>
      <c r="Q34" s="58"/>
      <c r="R34" s="58"/>
      <c r="S34" s="58"/>
      <c r="T34" s="58"/>
      <c r="U34" s="58"/>
    </row>
    <row r="35" spans="2:21" ht="15.75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 t="s">
        <v>85</v>
      </c>
      <c r="O35" s="42">
        <f>MAX((D14-O14)*F14,0)</f>
        <v>0</v>
      </c>
      <c r="P35" s="42">
        <f>MAX((D14-O14)*G14,0)</f>
        <v>0</v>
      </c>
      <c r="Q35" s="58"/>
      <c r="R35" s="58"/>
      <c r="S35" s="58"/>
      <c r="T35" s="58"/>
      <c r="U35" s="58"/>
    </row>
    <row r="36" spans="2:21" ht="15.75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 t="s">
        <v>13</v>
      </c>
      <c r="O36" s="42">
        <f>MAX((D15-O15)*F15,0)</f>
        <v>0</v>
      </c>
      <c r="P36" s="42">
        <f>MAX((D15-O15)*G15,0)</f>
        <v>0</v>
      </c>
      <c r="Q36" s="58"/>
      <c r="R36" s="58"/>
      <c r="S36" s="58"/>
      <c r="T36" s="58"/>
      <c r="U36" s="58"/>
    </row>
    <row r="37" spans="2:21" ht="15.75" x14ac:dyDescent="0.25">
      <c r="B37" s="38" t="s">
        <v>86</v>
      </c>
      <c r="C37" s="38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 t="s">
        <v>87</v>
      </c>
      <c r="O37" s="50">
        <f>MAX((D16-O16)*F16,0)</f>
        <v>7663.6596864111343</v>
      </c>
      <c r="P37" s="50">
        <f>MAX((D16-O16)*G16,0)</f>
        <v>7696.6699213950187</v>
      </c>
      <c r="Q37" s="58"/>
      <c r="R37" s="58"/>
      <c r="S37" s="58"/>
      <c r="T37" s="58"/>
      <c r="U37" s="58"/>
    </row>
    <row r="38" spans="2:21" ht="15.75" x14ac:dyDescent="0.25">
      <c r="B38" s="37"/>
      <c r="C38" s="37"/>
      <c r="D38" s="91" t="str">
        <f>LEFT(B8,6)</f>
        <v>Avista</v>
      </c>
      <c r="E38" s="91" t="str">
        <f>LEFT(B9,5)</f>
        <v>Idaho</v>
      </c>
      <c r="F38" s="91" t="str">
        <f>LEFT(B10,12)</f>
        <v>NorthWestern</v>
      </c>
      <c r="G38" s="91" t="str">
        <f>B11</f>
        <v>PacifiCorp</v>
      </c>
      <c r="H38" s="91" t="str">
        <f>LEFT(B12,8)</f>
        <v>Portland</v>
      </c>
      <c r="I38" s="91" t="str">
        <f>LEFT(B13,11)</f>
        <v>Puget Sound</v>
      </c>
      <c r="J38" s="40" t="s">
        <v>55</v>
      </c>
      <c r="K38" s="37"/>
      <c r="L38" s="37"/>
      <c r="M38" s="37"/>
      <c r="N38" s="37" t="s">
        <v>63</v>
      </c>
      <c r="O38" s="74">
        <f>SUM(O35:O37)</f>
        <v>7663.6596864111343</v>
      </c>
      <c r="P38" s="74">
        <f>SUM(P35:P37)</f>
        <v>7696.6699213950187</v>
      </c>
      <c r="Q38" s="58"/>
      <c r="R38" s="58"/>
      <c r="S38" s="58"/>
      <c r="T38" s="58"/>
      <c r="U38" s="58"/>
    </row>
    <row r="39" spans="2:21" ht="15.75" x14ac:dyDescent="0.25">
      <c r="B39" s="37"/>
      <c r="C39" s="37"/>
      <c r="D39" s="65">
        <f>E27</f>
        <v>2004.778</v>
      </c>
      <c r="E39" s="65">
        <f>E28</f>
        <v>0</v>
      </c>
      <c r="F39" s="65">
        <f>E29</f>
        <v>0</v>
      </c>
      <c r="G39" s="65">
        <f>E30</f>
        <v>0</v>
      </c>
      <c r="H39" s="65">
        <f>E31</f>
        <v>0</v>
      </c>
      <c r="I39" s="65">
        <f>E32</f>
        <v>0</v>
      </c>
      <c r="J39" s="40"/>
      <c r="K39" s="37"/>
      <c r="L39" s="37"/>
      <c r="M39" s="37"/>
      <c r="N39" s="37" t="s">
        <v>88</v>
      </c>
      <c r="O39" s="50">
        <f>SUM(O33,O38)</f>
        <v>266662.71215521113</v>
      </c>
      <c r="P39" s="50">
        <f>SUM(P33,P38)</f>
        <v>266695.72239019501</v>
      </c>
      <c r="Q39" s="58"/>
      <c r="R39" s="58"/>
      <c r="S39" s="58"/>
      <c r="T39" s="58"/>
      <c r="U39" s="58"/>
    </row>
    <row r="40" spans="2:21" ht="15.75" x14ac:dyDescent="0.25">
      <c r="B40" s="37"/>
      <c r="C40" s="37"/>
      <c r="D40" s="92" t="s">
        <v>89</v>
      </c>
      <c r="E40" s="92" t="s">
        <v>90</v>
      </c>
      <c r="F40" s="92" t="s">
        <v>91</v>
      </c>
      <c r="G40" s="92" t="s">
        <v>92</v>
      </c>
      <c r="H40" s="92" t="s">
        <v>93</v>
      </c>
      <c r="I40" s="92" t="s">
        <v>94</v>
      </c>
      <c r="J40" s="92" t="s">
        <v>95</v>
      </c>
      <c r="K40" s="37"/>
      <c r="L40" s="37"/>
      <c r="M40" s="37"/>
      <c r="N40" s="37"/>
      <c r="O40" s="37"/>
      <c r="P40" s="58"/>
      <c r="Q40" s="58"/>
      <c r="R40" s="58"/>
      <c r="S40" s="58"/>
      <c r="T40" s="58"/>
      <c r="U40" s="58"/>
    </row>
    <row r="41" spans="2:21" ht="15.75" x14ac:dyDescent="0.25">
      <c r="B41" s="37" t="str">
        <f t="shared" ref="B41:B46" si="18">B8</f>
        <v>Avista Corporation</v>
      </c>
      <c r="C41" s="37"/>
      <c r="D41" s="65"/>
      <c r="E41" s="65">
        <f>E$39*0.92*($I8/SUM($I$8,$I$10:$I$13))+E$39*0.08*($I8/SUM($I$8,$I$11:$I$13))</f>
        <v>0</v>
      </c>
      <c r="F41" s="65">
        <f>F$39*($I8/SUM($I$8,$I$11:$I$13))</f>
        <v>0</v>
      </c>
      <c r="G41" s="65"/>
      <c r="H41" s="65"/>
      <c r="I41" s="65"/>
      <c r="J41" s="65">
        <f t="shared" ref="J41:J46" si="19">SUM(D41:I41)</f>
        <v>0</v>
      </c>
      <c r="K41" s="37"/>
      <c r="L41" s="37"/>
      <c r="M41" s="37"/>
      <c r="N41" s="37" t="s">
        <v>96</v>
      </c>
      <c r="O41" s="42">
        <f>K17</f>
        <v>0</v>
      </c>
      <c r="P41" s="42">
        <f>K17</f>
        <v>0</v>
      </c>
      <c r="Q41" s="58"/>
      <c r="R41" s="58"/>
      <c r="S41" s="58"/>
      <c r="T41" s="58"/>
      <c r="U41" s="58"/>
    </row>
    <row r="42" spans="2:21" ht="15.75" x14ac:dyDescent="0.25">
      <c r="B42" s="37" t="str">
        <f t="shared" si="18"/>
        <v>Idaho Power Company</v>
      </c>
      <c r="C42" s="37"/>
      <c r="D42" s="65"/>
      <c r="E42" s="65"/>
      <c r="F42" s="65"/>
      <c r="G42" s="65"/>
      <c r="H42" s="65"/>
      <c r="I42" s="65"/>
      <c r="J42" s="65">
        <f t="shared" si="19"/>
        <v>0</v>
      </c>
      <c r="K42" s="37"/>
      <c r="L42" s="37"/>
      <c r="M42" s="37"/>
      <c r="N42" s="37" t="s">
        <v>97</v>
      </c>
      <c r="O42" s="74">
        <f>O39+O41</f>
        <v>266662.71215521113</v>
      </c>
      <c r="P42" s="74">
        <f>P39+P41</f>
        <v>266695.72239019501</v>
      </c>
      <c r="Q42" s="93"/>
      <c r="R42" s="58"/>
      <c r="S42" s="58"/>
      <c r="T42" s="58"/>
      <c r="U42" s="58"/>
    </row>
    <row r="43" spans="2:21" ht="15.75" x14ac:dyDescent="0.25">
      <c r="B43" s="37" t="str">
        <f t="shared" si="18"/>
        <v>NorthWestern Energy, LLC</v>
      </c>
      <c r="C43" s="37"/>
      <c r="D43" s="64">
        <f>D$39*($I10/SUM($I$10,$I$12:$I$13))</f>
        <v>67.567592644389535</v>
      </c>
      <c r="E43" s="65">
        <f>E$39*0.92*($I10/SUM($I$8,$I$10:$I$13))</f>
        <v>0</v>
      </c>
      <c r="F43" s="65"/>
      <c r="G43" s="65">
        <f>G$39*($I10/SUM($I$10,$I$12:$I$13))</f>
        <v>0</v>
      </c>
      <c r="H43" s="65">
        <f>H$39*($I10/SUM($I$10,$I$13))</f>
        <v>0</v>
      </c>
      <c r="I43" s="65">
        <f>I39</f>
        <v>0</v>
      </c>
      <c r="J43" s="64">
        <f t="shared" si="19"/>
        <v>67.567592644389535</v>
      </c>
      <c r="K43" s="37"/>
      <c r="L43" s="37"/>
      <c r="M43" s="37"/>
      <c r="N43" s="37"/>
      <c r="O43" s="37"/>
      <c r="P43" s="58"/>
      <c r="Q43" s="93"/>
      <c r="R43" s="58"/>
      <c r="S43" s="58"/>
      <c r="T43" s="58"/>
      <c r="U43" s="58"/>
    </row>
    <row r="44" spans="2:21" ht="15.75" x14ac:dyDescent="0.25">
      <c r="B44" s="37" t="str">
        <f t="shared" si="18"/>
        <v>PacifiCorp</v>
      </c>
      <c r="C44" s="37"/>
      <c r="D44" s="65"/>
      <c r="E44" s="65">
        <f>E$39*0.92*($I11/SUM($I$8,$I$10:$I$13))+E$39*0.08*($I11/SUM($I$8,$I$11:$I$13))</f>
        <v>0</v>
      </c>
      <c r="F44" s="65">
        <f>F$39*($I11/SUM($I$8,$I$11:$I$13))</f>
        <v>0</v>
      </c>
      <c r="G44" s="65"/>
      <c r="H44" s="65"/>
      <c r="I44" s="65"/>
      <c r="J44" s="65">
        <f t="shared" si="19"/>
        <v>0</v>
      </c>
      <c r="K44" s="37"/>
      <c r="L44" s="37"/>
      <c r="M44" s="37"/>
      <c r="N44" s="37"/>
      <c r="O44" s="37"/>
      <c r="P44" s="58"/>
      <c r="Q44" s="58"/>
      <c r="R44" s="58"/>
      <c r="S44" s="58"/>
      <c r="T44" s="58"/>
      <c r="U44" s="58"/>
    </row>
    <row r="45" spans="2:21" ht="15.75" x14ac:dyDescent="0.25">
      <c r="B45" s="37" t="str">
        <f t="shared" si="18"/>
        <v>Portland General Electric Company</v>
      </c>
      <c r="C45" s="37"/>
      <c r="D45" s="64">
        <f>D$39*(I12/SUM($I$10,$I$12:$I$13))</f>
        <v>870.08919954191936</v>
      </c>
      <c r="E45" s="65">
        <f>E$39*0.92*($I12/SUM($I$8,$I$10:$I$13))+E$39*0.08*($I12/SUM($I$8,$I$11:$I$13))</f>
        <v>0</v>
      </c>
      <c r="F45" s="65">
        <f>F$39*($I12/SUM($I$8,$I$11:$I$13))</f>
        <v>0</v>
      </c>
      <c r="G45" s="65">
        <f>G$39*($I12/SUM($I$10,$I$12:$I$13))</f>
        <v>0</v>
      </c>
      <c r="H45" s="65"/>
      <c r="I45" s="65"/>
      <c r="J45" s="64">
        <f t="shared" si="19"/>
        <v>870.08919954191936</v>
      </c>
      <c r="K45" s="37"/>
      <c r="L45" s="37"/>
      <c r="M45" s="37"/>
      <c r="N45" s="37"/>
      <c r="O45" s="37"/>
      <c r="P45" s="58"/>
      <c r="Q45" s="58"/>
      <c r="R45" s="58"/>
      <c r="S45" s="58"/>
      <c r="T45" s="58"/>
      <c r="U45" s="58"/>
    </row>
    <row r="46" spans="2:21" ht="15.75" x14ac:dyDescent="0.25">
      <c r="B46" s="37" t="str">
        <f t="shared" si="18"/>
        <v>Puget Sound Energy, Inc.</v>
      </c>
      <c r="C46" s="37"/>
      <c r="D46" s="94">
        <f>D$39*(I13/SUM($I$10,$I$12:$I$13))</f>
        <v>1067.1212078136912</v>
      </c>
      <c r="E46" s="95">
        <f>E$39*0.92*($I13/SUM($I$8,$I$10:$I$13))+E$39*0.08*($I13/SUM($I$8,$I$11:$I$13))</f>
        <v>0</v>
      </c>
      <c r="F46" s="95">
        <f>F$39*($I13/SUM($I$8,$I$11:$I$13))</f>
        <v>0</v>
      </c>
      <c r="G46" s="95">
        <f>G$39*($I13/SUM($I$10,$I$12:$I$13))</f>
        <v>0</v>
      </c>
      <c r="H46" s="95">
        <f>H$39*($I13/SUM($I$10,$I$13))</f>
        <v>0</v>
      </c>
      <c r="I46" s="95"/>
      <c r="J46" s="94">
        <f t="shared" si="19"/>
        <v>1067.1212078136912</v>
      </c>
      <c r="K46" s="37"/>
      <c r="L46" s="37"/>
      <c r="M46" s="37"/>
      <c r="N46" s="37"/>
      <c r="O46" s="37"/>
      <c r="P46" s="58"/>
      <c r="Q46" s="58"/>
      <c r="R46" s="58"/>
      <c r="S46" s="58"/>
      <c r="T46" s="58"/>
      <c r="U46" s="58"/>
    </row>
    <row r="47" spans="2:21" ht="15.75" x14ac:dyDescent="0.25">
      <c r="B47" s="58"/>
      <c r="C47" s="58"/>
      <c r="D47" s="42">
        <f>SUM(D41:D46)</f>
        <v>2004.778</v>
      </c>
      <c r="E47" s="42">
        <f>SUM(E41:E46)</f>
        <v>0</v>
      </c>
      <c r="F47" s="42">
        <f t="shared" ref="F47:I47" si="20">SUM(F41:F46)</f>
        <v>0</v>
      </c>
      <c r="G47" s="42">
        <f t="shared" si="20"/>
        <v>0</v>
      </c>
      <c r="H47" s="42">
        <f t="shared" si="20"/>
        <v>0</v>
      </c>
      <c r="I47" s="42">
        <f t="shared" si="20"/>
        <v>0</v>
      </c>
      <c r="J47" s="42">
        <f>SUM(J41:J46)</f>
        <v>2004.778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</row>
    <row r="54" spans="2:11" x14ac:dyDescent="0.2">
      <c r="D54" s="52" t="s">
        <v>98</v>
      </c>
    </row>
    <row r="55" spans="2:11" x14ac:dyDescent="0.2">
      <c r="B55" s="96"/>
      <c r="C55" s="97"/>
      <c r="D55" s="97">
        <v>1</v>
      </c>
      <c r="E55" s="97">
        <v>2</v>
      </c>
      <c r="F55" s="97">
        <v>3</v>
      </c>
      <c r="G55" s="97">
        <v>4</v>
      </c>
      <c r="H55" s="97">
        <v>5</v>
      </c>
      <c r="I55" s="97">
        <v>6</v>
      </c>
      <c r="J55" s="97">
        <v>7</v>
      </c>
      <c r="K55" s="98">
        <v>8</v>
      </c>
    </row>
    <row r="56" spans="2:11" ht="15.75" x14ac:dyDescent="0.25">
      <c r="B56" s="99" t="str">
        <f t="shared" ref="B56:B61" si="21">B41</f>
        <v>Avista Corporation</v>
      </c>
      <c r="C56" s="100"/>
      <c r="D56" s="101">
        <f t="shared" ref="D56:K61" si="22">($D8-ROUND($E8+$I27,D$55))*$H8</f>
        <v>16004.983316400005</v>
      </c>
      <c r="E56" s="101">
        <f t="shared" si="22"/>
        <v>15925.554118799992</v>
      </c>
      <c r="F56" s="101">
        <f t="shared" si="22"/>
        <v>15941.43995832001</v>
      </c>
      <c r="G56" s="101">
        <f t="shared" si="22"/>
        <v>15940.645666343984</v>
      </c>
      <c r="H56" s="101">
        <f t="shared" si="22"/>
        <v>15940.566237146388</v>
      </c>
      <c r="I56" s="101">
        <f t="shared" si="22"/>
        <v>15940.558294226648</v>
      </c>
      <c r="J56" s="101">
        <f t="shared" si="22"/>
        <v>15940.55869137264</v>
      </c>
      <c r="K56" s="102">
        <f t="shared" si="22"/>
        <v>15940.558731087214</v>
      </c>
    </row>
    <row r="57" spans="2:11" ht="15.75" x14ac:dyDescent="0.25">
      <c r="B57" s="99" t="str">
        <f t="shared" si="21"/>
        <v>Idaho Power Company</v>
      </c>
      <c r="C57" s="100"/>
      <c r="D57" s="101">
        <f t="shared" si="22"/>
        <v>19679.802265200029</v>
      </c>
      <c r="E57" s="101">
        <f t="shared" si="22"/>
        <v>19954.085223600025</v>
      </c>
      <c r="F57" s="101">
        <f t="shared" si="22"/>
        <v>19967.799371519992</v>
      </c>
      <c r="G57" s="101">
        <f t="shared" si="22"/>
        <v>19967.799371519992</v>
      </c>
      <c r="H57" s="101">
        <f t="shared" si="22"/>
        <v>19967.593659301223</v>
      </c>
      <c r="I57" s="101">
        <f t="shared" si="22"/>
        <v>19967.566231005356</v>
      </c>
      <c r="J57" s="101">
        <f t="shared" si="22"/>
        <v>19967.568288127568</v>
      </c>
      <c r="K57" s="102">
        <f t="shared" si="22"/>
        <v>19967.568219556822</v>
      </c>
    </row>
    <row r="58" spans="2:11" ht="15.75" x14ac:dyDescent="0.25">
      <c r="B58" s="99" t="str">
        <f t="shared" si="21"/>
        <v>NorthWestern Energy, LLC</v>
      </c>
      <c r="C58" s="100"/>
      <c r="D58" s="101">
        <f t="shared" si="22"/>
        <v>4598.958302400004</v>
      </c>
      <c r="E58" s="101">
        <f t="shared" si="22"/>
        <v>4598.958302400004</v>
      </c>
      <c r="F58" s="101">
        <f t="shared" si="22"/>
        <v>4598.2441784399998</v>
      </c>
      <c r="G58" s="101">
        <f t="shared" si="22"/>
        <v>4598.3870032320046</v>
      </c>
      <c r="H58" s="101">
        <f t="shared" si="22"/>
        <v>4598.3798619924028</v>
      </c>
      <c r="I58" s="101">
        <f t="shared" si="22"/>
        <v>4598.3784337444813</v>
      </c>
      <c r="J58" s="101">
        <f t="shared" si="22"/>
        <v>4598.3785765692746</v>
      </c>
      <c r="K58" s="102">
        <f t="shared" si="22"/>
        <v>4598.3785837105152</v>
      </c>
    </row>
    <row r="59" spans="2:11" ht="15.75" x14ac:dyDescent="0.25">
      <c r="B59" s="99" t="str">
        <f t="shared" si="21"/>
        <v>PacifiCorp</v>
      </c>
      <c r="C59" s="100"/>
      <c r="D59" s="101">
        <f t="shared" si="22"/>
        <v>86989.462689600026</v>
      </c>
      <c r="E59" s="101">
        <f t="shared" si="22"/>
        <v>86623.576411199974</v>
      </c>
      <c r="F59" s="101">
        <f t="shared" si="22"/>
        <v>86651.017882079977</v>
      </c>
      <c r="G59" s="101">
        <f t="shared" si="22"/>
        <v>86654.676744863973</v>
      </c>
      <c r="H59" s="101">
        <f t="shared" si="22"/>
        <v>86654.7682164336</v>
      </c>
      <c r="I59" s="101">
        <f t="shared" si="22"/>
        <v>86654.749922119721</v>
      </c>
      <c r="J59" s="101">
        <f t="shared" si="22"/>
        <v>86654.746263256893</v>
      </c>
      <c r="K59" s="102">
        <f t="shared" si="22"/>
        <v>86654.746080313736</v>
      </c>
    </row>
    <row r="60" spans="2:11" ht="15.75" x14ac:dyDescent="0.25">
      <c r="B60" s="99" t="str">
        <f t="shared" si="21"/>
        <v>Portland General Electric Company</v>
      </c>
      <c r="C60" s="100"/>
      <c r="D60" s="101">
        <f t="shared" si="22"/>
        <v>58805.392593600023</v>
      </c>
      <c r="E60" s="101">
        <f t="shared" si="22"/>
        <v>59226.032025600056</v>
      </c>
      <c r="F60" s="101">
        <f t="shared" si="22"/>
        <v>59217.619236960018</v>
      </c>
      <c r="G60" s="101">
        <f t="shared" si="22"/>
        <v>59215.095400368053</v>
      </c>
      <c r="H60" s="101">
        <f t="shared" si="22"/>
        <v>59214.758888822405</v>
      </c>
      <c r="I60" s="101">
        <f t="shared" si="22"/>
        <v>59214.767301611086</v>
      </c>
      <c r="J60" s="101">
        <f t="shared" si="22"/>
        <v>59214.771508005397</v>
      </c>
      <c r="K60" s="102">
        <f t="shared" si="22"/>
        <v>59214.77117149382</v>
      </c>
    </row>
    <row r="61" spans="2:11" ht="15.75" x14ac:dyDescent="0.25">
      <c r="B61" s="99" t="str">
        <f t="shared" si="21"/>
        <v>Puget Sound Energy, Inc.</v>
      </c>
      <c r="C61" s="100"/>
      <c r="D61" s="103">
        <f t="shared" si="22"/>
        <v>72670.84638719997</v>
      </c>
      <c r="E61" s="103">
        <f t="shared" si="22"/>
        <v>72670.84638719997</v>
      </c>
      <c r="F61" s="103">
        <f t="shared" si="22"/>
        <v>72623.036619840001</v>
      </c>
      <c r="G61" s="103">
        <f t="shared" si="22"/>
        <v>72624.231864024041</v>
      </c>
      <c r="H61" s="103">
        <f t="shared" si="22"/>
        <v>72623.992815187245</v>
      </c>
      <c r="I61" s="103">
        <f t="shared" si="22"/>
        <v>72623.98086274536</v>
      </c>
      <c r="J61" s="103">
        <f t="shared" si="22"/>
        <v>72623.977277012847</v>
      </c>
      <c r="K61" s="104">
        <f t="shared" si="22"/>
        <v>72623.977157488422</v>
      </c>
    </row>
    <row r="62" spans="2:11" x14ac:dyDescent="0.2">
      <c r="B62" s="99"/>
      <c r="C62" s="100"/>
      <c r="D62" s="105">
        <f t="shared" ref="D62:K62" si="23">SUM(D56:D61)</f>
        <v>258749.44555440007</v>
      </c>
      <c r="E62" s="105">
        <f t="shared" si="23"/>
        <v>258999.05246880002</v>
      </c>
      <c r="F62" s="105">
        <f t="shared" si="23"/>
        <v>258999.15724715998</v>
      </c>
      <c r="G62" s="105">
        <f t="shared" si="23"/>
        <v>259000.83605035205</v>
      </c>
      <c r="H62" s="105">
        <f t="shared" si="23"/>
        <v>259000.05967888329</v>
      </c>
      <c r="I62" s="105">
        <f t="shared" si="23"/>
        <v>259000.00104545266</v>
      </c>
      <c r="J62" s="105">
        <f t="shared" si="23"/>
        <v>259000.00060434459</v>
      </c>
      <c r="K62" s="106">
        <f t="shared" si="23"/>
        <v>258999.9999436505</v>
      </c>
    </row>
    <row r="63" spans="2:11" x14ac:dyDescent="0.2">
      <c r="B63" s="99"/>
      <c r="C63" s="100"/>
      <c r="D63" s="100"/>
      <c r="E63" s="100"/>
      <c r="F63" s="100"/>
      <c r="G63" s="100"/>
      <c r="H63" s="100"/>
      <c r="I63" s="100"/>
      <c r="J63" s="100"/>
      <c r="K63" s="107"/>
    </row>
    <row r="64" spans="2:11" x14ac:dyDescent="0.2">
      <c r="B64" s="99"/>
      <c r="C64" s="100"/>
      <c r="D64" s="108">
        <f>(D62-$J$17)*1000</f>
        <v>-250554.44559993339</v>
      </c>
      <c r="E64" s="108">
        <f t="shared" ref="E64:K64" si="24">(E62-$J$17)*1000</f>
        <v>-947.53119998495094</v>
      </c>
      <c r="F64" s="108">
        <f t="shared" si="24"/>
        <v>-842.75284002069384</v>
      </c>
      <c r="G64" s="108">
        <f t="shared" si="24"/>
        <v>836.05035205255263</v>
      </c>
      <c r="H64" s="108">
        <f t="shared" si="24"/>
        <v>59.678883291780949</v>
      </c>
      <c r="I64" s="108">
        <f t="shared" si="24"/>
        <v>1.0454526636749506</v>
      </c>
      <c r="J64" s="108">
        <f t="shared" si="24"/>
        <v>0.60434459010139108</v>
      </c>
      <c r="K64" s="109">
        <f t="shared" si="24"/>
        <v>-5.6349497754126787E-2</v>
      </c>
    </row>
    <row r="65" spans="2:11" x14ac:dyDescent="0.2">
      <c r="B65" s="99"/>
      <c r="C65" s="100"/>
      <c r="D65" s="100"/>
      <c r="E65" s="100"/>
      <c r="F65" s="100"/>
      <c r="G65" s="100"/>
      <c r="H65" s="100"/>
      <c r="I65" s="100"/>
      <c r="J65" s="100"/>
      <c r="K65" s="107"/>
    </row>
    <row r="66" spans="2:11" x14ac:dyDescent="0.2">
      <c r="B66" s="110"/>
      <c r="C66" s="111">
        <f>MIN(D66:K66)</f>
        <v>2</v>
      </c>
      <c r="D66" s="112">
        <f t="shared" ref="D66:K66" si="25">IF(ABS(D64)&lt;1000,D55,999)</f>
        <v>999</v>
      </c>
      <c r="E66" s="112">
        <f t="shared" si="25"/>
        <v>2</v>
      </c>
      <c r="F66" s="112">
        <f t="shared" si="25"/>
        <v>3</v>
      </c>
      <c r="G66" s="112">
        <f t="shared" si="25"/>
        <v>4</v>
      </c>
      <c r="H66" s="112">
        <f t="shared" si="25"/>
        <v>5</v>
      </c>
      <c r="I66" s="112">
        <f t="shared" si="25"/>
        <v>6</v>
      </c>
      <c r="J66" s="112">
        <f t="shared" si="25"/>
        <v>7</v>
      </c>
      <c r="K66" s="113">
        <f t="shared" si="25"/>
        <v>8</v>
      </c>
    </row>
  </sheetData>
  <conditionalFormatting sqref="C2">
    <cfRule type="expression" dxfId="6" priority="2" stopIfTrue="1">
      <formula>B1 &gt; 30</formula>
    </cfRule>
  </conditionalFormatting>
  <conditionalFormatting sqref="B2">
    <cfRule type="expression" dxfId="5" priority="1" stopIfTrue="1">
      <formula>A1 &gt; 30</formula>
    </cfRule>
  </conditionalFormatting>
  <pageMargins left="0.7" right="0.7" top="0.75" bottom="0.75" header="0.3" footer="0.3"/>
  <ignoredErrors>
    <ignoredError sqref="H8: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1"/>
  <sheetViews>
    <sheetView workbookViewId="0">
      <selection activeCell="H53" sqref="H53"/>
    </sheetView>
  </sheetViews>
  <sheetFormatPr defaultColWidth="9.140625" defaultRowHeight="12.75" x14ac:dyDescent="0.2"/>
  <cols>
    <col min="1" max="1" width="10.28515625" style="51" customWidth="1"/>
    <col min="2" max="2" width="17.85546875" style="51" customWidth="1"/>
    <col min="3" max="3" width="7.5703125" style="52" customWidth="1"/>
    <col min="4" max="4" width="3" style="52" customWidth="1"/>
    <col min="5" max="5" width="10.42578125" style="52" customWidth="1"/>
    <col min="6" max="6" width="9.7109375" style="52" customWidth="1"/>
    <col min="7" max="7" width="2.85546875" style="52" customWidth="1"/>
    <col min="8" max="9" width="11" style="52" customWidth="1"/>
    <col min="10" max="10" width="2.7109375" style="52" customWidth="1"/>
    <col min="11" max="11" width="12.5703125" style="52" bestFit="1" customWidth="1"/>
    <col min="12" max="20" width="12.140625" style="52" bestFit="1" customWidth="1"/>
    <col min="21" max="16384" width="9.140625" style="52"/>
  </cols>
  <sheetData>
    <row r="1" spans="1:119" s="116" customFormat="1" ht="28.5" customHeight="1" x14ac:dyDescent="0.25">
      <c r="A1" s="114"/>
      <c r="B1" s="115" t="s">
        <v>99</v>
      </c>
      <c r="C1" s="114"/>
      <c r="D1" s="114"/>
      <c r="E1" s="114"/>
      <c r="F1" s="114"/>
      <c r="G1" s="114"/>
      <c r="H1" s="114"/>
      <c r="I1" s="114"/>
      <c r="J1" s="114"/>
      <c r="N1" s="53" t="s">
        <v>20</v>
      </c>
    </row>
    <row r="2" spans="1:119" s="116" customFormat="1" x14ac:dyDescent="0.2">
      <c r="A2" s="5"/>
      <c r="B2" s="6"/>
      <c r="C2" s="117"/>
      <c r="D2" s="117"/>
      <c r="E2" s="117"/>
      <c r="F2" s="117"/>
      <c r="G2" s="117"/>
      <c r="H2" s="117"/>
      <c r="I2" s="117"/>
      <c r="J2" s="117"/>
    </row>
    <row r="3" spans="1:119" s="116" customFormat="1" ht="15.75" x14ac:dyDescent="0.25">
      <c r="A3" s="8"/>
      <c r="C3" s="118"/>
      <c r="D3" s="118"/>
      <c r="E3" s="118"/>
      <c r="F3" s="118"/>
      <c r="G3" s="118"/>
      <c r="H3" s="118"/>
      <c r="I3" s="118"/>
      <c r="J3" s="118"/>
    </row>
    <row r="4" spans="1:119" s="51" customFormat="1" ht="14.25" x14ac:dyDescent="0.2">
      <c r="A4" s="8"/>
      <c r="M4" s="119"/>
      <c r="N4" s="119"/>
      <c r="O4" s="119"/>
      <c r="P4" s="119"/>
      <c r="Q4" s="119"/>
      <c r="R4" s="119"/>
      <c r="S4" s="119"/>
      <c r="T4" s="119"/>
    </row>
    <row r="5" spans="1:119" s="51" customFormat="1" ht="15.75" x14ac:dyDescent="0.25">
      <c r="A5" s="8"/>
      <c r="B5" s="120" t="s">
        <v>100</v>
      </c>
      <c r="C5" s="121">
        <v>49.542532000000001</v>
      </c>
      <c r="D5" s="122"/>
      <c r="E5" s="122"/>
      <c r="F5" s="122"/>
      <c r="G5" s="122"/>
      <c r="H5" s="122"/>
      <c r="I5" s="122"/>
      <c r="J5" s="122"/>
      <c r="K5" s="122"/>
      <c r="L5" s="122"/>
      <c r="M5" s="123"/>
      <c r="N5" s="123"/>
      <c r="O5" s="123"/>
      <c r="P5" s="123"/>
      <c r="Q5" s="123"/>
      <c r="R5" s="123"/>
      <c r="S5" s="123"/>
      <c r="T5" s="123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119" s="51" customFormat="1" ht="15.75" x14ac:dyDescent="0.25">
      <c r="A6" s="8"/>
      <c r="B6" s="120" t="s">
        <v>101</v>
      </c>
      <c r="C6" s="121">
        <v>49.717416</v>
      </c>
      <c r="D6" s="122"/>
      <c r="E6" s="124" t="s">
        <v>102</v>
      </c>
      <c r="F6" s="122"/>
      <c r="G6" s="122"/>
      <c r="H6" s="124" t="s">
        <v>103</v>
      </c>
      <c r="I6" s="122"/>
      <c r="J6" s="122"/>
      <c r="K6" s="124" t="s">
        <v>104</v>
      </c>
      <c r="L6" s="122"/>
      <c r="M6" s="123"/>
      <c r="N6" s="123"/>
      <c r="O6" s="123"/>
      <c r="P6" s="123"/>
      <c r="Q6" s="123"/>
      <c r="R6" s="123"/>
      <c r="S6" s="123"/>
      <c r="T6" s="123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119" s="51" customFormat="1" ht="14.25" x14ac:dyDescent="0.2">
      <c r="A7" s="8"/>
      <c r="B7" s="122"/>
      <c r="C7" s="122"/>
      <c r="D7" s="122"/>
      <c r="E7" s="122"/>
      <c r="F7" s="122"/>
      <c r="G7" s="122"/>
      <c r="H7" s="122"/>
      <c r="I7" s="122"/>
      <c r="J7" s="122"/>
      <c r="K7" s="125" t="s">
        <v>106</v>
      </c>
      <c r="L7" s="126"/>
      <c r="M7" s="123"/>
      <c r="N7" s="123"/>
      <c r="O7" s="123"/>
      <c r="P7" s="123"/>
      <c r="Q7" s="123"/>
      <c r="R7" s="123"/>
      <c r="S7" s="123"/>
      <c r="T7" s="123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</row>
    <row r="8" spans="1:119" s="51" customFormat="1" ht="14.25" x14ac:dyDescent="0.2">
      <c r="A8" s="8"/>
      <c r="B8" s="122"/>
      <c r="C8" s="122"/>
      <c r="D8" s="122"/>
      <c r="E8" s="127">
        <v>2022</v>
      </c>
      <c r="F8" s="128">
        <v>2023</v>
      </c>
      <c r="G8" s="122"/>
      <c r="H8" s="127">
        <v>2022</v>
      </c>
      <c r="I8" s="128">
        <v>2023</v>
      </c>
      <c r="J8" s="122"/>
      <c r="K8" s="127">
        <v>2022</v>
      </c>
      <c r="L8" s="128">
        <v>2023</v>
      </c>
      <c r="M8" s="123"/>
      <c r="N8" s="123"/>
      <c r="O8" s="123"/>
      <c r="P8" s="123"/>
      <c r="Q8" s="123"/>
      <c r="R8" s="123"/>
      <c r="S8" s="123"/>
      <c r="T8" s="12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</row>
    <row r="9" spans="1:119" s="51" customFormat="1" ht="14.25" x14ac:dyDescent="0.2">
      <c r="A9" s="8"/>
      <c r="B9" s="122"/>
      <c r="C9" s="122"/>
      <c r="D9" s="122"/>
      <c r="E9" s="129"/>
      <c r="F9" s="130"/>
      <c r="G9" s="122"/>
      <c r="H9" s="129"/>
      <c r="I9" s="130"/>
      <c r="J9" s="122"/>
      <c r="K9" s="131"/>
      <c r="L9" s="132"/>
      <c r="M9" s="123"/>
      <c r="N9" s="123"/>
      <c r="O9" s="123"/>
      <c r="P9" s="123"/>
      <c r="Q9" s="123"/>
      <c r="R9" s="123"/>
      <c r="S9" s="123"/>
      <c r="T9" s="123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</row>
    <row r="10" spans="1:119" x14ac:dyDescent="0.2">
      <c r="B10" s="122"/>
      <c r="C10" s="122"/>
      <c r="D10" s="122"/>
      <c r="E10" s="129"/>
      <c r="F10" s="130"/>
      <c r="G10" s="122"/>
      <c r="H10" s="129"/>
      <c r="I10" s="130"/>
      <c r="J10" s="122"/>
      <c r="K10" s="129"/>
      <c r="L10" s="130"/>
    </row>
    <row r="11" spans="1:119" x14ac:dyDescent="0.2">
      <c r="B11" s="122" t="s">
        <v>6</v>
      </c>
      <c r="C11" s="92">
        <v>1</v>
      </c>
      <c r="D11" s="92"/>
      <c r="E11" s="133">
        <v>62.93</v>
      </c>
      <c r="F11" s="134">
        <v>62.93</v>
      </c>
      <c r="G11" s="92"/>
      <c r="H11" s="135">
        <v>3971.4598799999999</v>
      </c>
      <c r="I11" s="136">
        <v>3971.4598799999999</v>
      </c>
      <c r="J11" s="92"/>
      <c r="K11" s="137">
        <v>53167.79205678383</v>
      </c>
      <c r="L11" s="138">
        <v>53167.79205678383</v>
      </c>
      <c r="M11" s="139"/>
      <c r="N11" s="139"/>
      <c r="O11" s="139"/>
      <c r="P11" s="139"/>
      <c r="Q11" s="139"/>
      <c r="R11" s="139"/>
      <c r="S11" s="139"/>
      <c r="T11" s="139"/>
    </row>
    <row r="12" spans="1:119" x14ac:dyDescent="0.2">
      <c r="B12" s="122" t="s">
        <v>7</v>
      </c>
      <c r="C12" s="92">
        <v>1</v>
      </c>
      <c r="D12" s="92"/>
      <c r="E12" s="133">
        <v>58.17</v>
      </c>
      <c r="F12" s="134">
        <v>58.17</v>
      </c>
      <c r="G12" s="92"/>
      <c r="H12" s="135">
        <v>6857.0739599999997</v>
      </c>
      <c r="I12" s="136">
        <v>6857.0739599999997</v>
      </c>
      <c r="J12" s="92"/>
      <c r="K12" s="137">
        <v>59159.186163533283</v>
      </c>
      <c r="L12" s="138">
        <v>59159.186163533283</v>
      </c>
      <c r="M12" s="139"/>
      <c r="N12" s="139"/>
      <c r="O12" s="139"/>
      <c r="P12" s="139"/>
      <c r="Q12" s="139"/>
      <c r="R12" s="139"/>
      <c r="S12" s="139"/>
      <c r="T12" s="139"/>
    </row>
    <row r="13" spans="1:119" x14ac:dyDescent="0.2">
      <c r="B13" s="122" t="s">
        <v>8</v>
      </c>
      <c r="C13" s="92">
        <v>1</v>
      </c>
      <c r="D13" s="92"/>
      <c r="E13" s="133">
        <v>68.34</v>
      </c>
      <c r="F13" s="134">
        <v>68.34</v>
      </c>
      <c r="G13" s="92"/>
      <c r="H13" s="135">
        <v>714.12396000000001</v>
      </c>
      <c r="I13" s="136">
        <v>714.12396000000001</v>
      </c>
      <c r="J13" s="92"/>
      <c r="K13" s="137">
        <v>13423.722286133281</v>
      </c>
      <c r="L13" s="138">
        <v>13423.722286133281</v>
      </c>
      <c r="M13" s="139"/>
      <c r="N13" s="139"/>
      <c r="O13" s="139"/>
      <c r="P13" s="139"/>
      <c r="Q13" s="139"/>
      <c r="R13" s="139"/>
      <c r="S13" s="139"/>
      <c r="T13" s="139"/>
    </row>
    <row r="14" spans="1:119" x14ac:dyDescent="0.2">
      <c r="B14" s="122" t="s">
        <v>9</v>
      </c>
      <c r="C14" s="92">
        <v>1</v>
      </c>
      <c r="D14" s="92"/>
      <c r="E14" s="133">
        <v>77.61</v>
      </c>
      <c r="F14" s="134">
        <v>77.61</v>
      </c>
      <c r="G14" s="92"/>
      <c r="H14" s="135">
        <v>9147.1569599999984</v>
      </c>
      <c r="I14" s="136">
        <v>9147.1569599999984</v>
      </c>
      <c r="J14" s="92"/>
      <c r="K14" s="137">
        <v>256737.53526577723</v>
      </c>
      <c r="L14" s="138">
        <v>256737.53526577723</v>
      </c>
      <c r="M14" s="139"/>
      <c r="N14" s="139"/>
      <c r="O14" s="139"/>
      <c r="P14" s="139"/>
      <c r="Q14" s="139"/>
      <c r="R14" s="139"/>
      <c r="S14" s="139"/>
      <c r="T14" s="139"/>
    </row>
    <row r="15" spans="1:119" x14ac:dyDescent="0.2">
      <c r="B15" s="122" t="s">
        <v>10</v>
      </c>
      <c r="C15" s="92">
        <v>1</v>
      </c>
      <c r="D15" s="92"/>
      <c r="E15" s="133">
        <v>70.09</v>
      </c>
      <c r="F15" s="134">
        <v>70.09</v>
      </c>
      <c r="G15" s="92"/>
      <c r="H15" s="140">
        <v>8412.7886400000007</v>
      </c>
      <c r="I15" s="141">
        <v>8412.7886400000007</v>
      </c>
      <c r="J15" s="92"/>
      <c r="K15" s="137">
        <v>172861.50537116354</v>
      </c>
      <c r="L15" s="138">
        <v>172861.50537116354</v>
      </c>
      <c r="M15" s="139"/>
      <c r="N15" s="139"/>
      <c r="O15" s="139"/>
      <c r="P15" s="139"/>
      <c r="Q15" s="139"/>
      <c r="R15" s="139"/>
      <c r="S15" s="139"/>
      <c r="T15" s="139"/>
    </row>
    <row r="16" spans="1:119" x14ac:dyDescent="0.2">
      <c r="B16" s="122" t="s">
        <v>11</v>
      </c>
      <c r="C16" s="92">
        <v>1</v>
      </c>
      <c r="D16" s="92"/>
      <c r="E16" s="133">
        <v>67.28</v>
      </c>
      <c r="F16" s="134">
        <v>67.28</v>
      </c>
      <c r="G16" s="92"/>
      <c r="H16" s="135">
        <v>11952.44184</v>
      </c>
      <c r="I16" s="136">
        <v>11952.44184</v>
      </c>
      <c r="J16" s="92"/>
      <c r="K16" s="137">
        <v>212006.0546588611</v>
      </c>
      <c r="L16" s="138">
        <v>212006.0546588611</v>
      </c>
      <c r="M16" s="139"/>
      <c r="N16" s="139"/>
      <c r="O16" s="139"/>
      <c r="P16" s="139"/>
      <c r="Q16" s="139"/>
      <c r="R16" s="139"/>
      <c r="S16" s="139"/>
      <c r="T16" s="139"/>
    </row>
    <row r="17" spans="2:20" x14ac:dyDescent="0.2">
      <c r="B17" s="122" t="s">
        <v>12</v>
      </c>
      <c r="C17" s="92">
        <v>0</v>
      </c>
      <c r="D17" s="92"/>
      <c r="E17" s="133">
        <v>42.14</v>
      </c>
      <c r="F17" s="134">
        <v>42.14</v>
      </c>
      <c r="G17" s="92"/>
      <c r="H17" s="135">
        <v>0</v>
      </c>
      <c r="I17" s="136">
        <v>0</v>
      </c>
      <c r="J17" s="92"/>
      <c r="K17" s="142">
        <v>0</v>
      </c>
      <c r="L17" s="143">
        <v>0</v>
      </c>
      <c r="M17" s="139"/>
      <c r="N17" s="139"/>
      <c r="O17" s="139"/>
      <c r="P17" s="139"/>
      <c r="Q17" s="139"/>
      <c r="R17" s="139"/>
      <c r="S17" s="139"/>
      <c r="T17" s="139"/>
    </row>
    <row r="18" spans="2:20" x14ac:dyDescent="0.2">
      <c r="B18" s="122" t="s">
        <v>13</v>
      </c>
      <c r="C18" s="92">
        <v>0</v>
      </c>
      <c r="D18" s="92"/>
      <c r="E18" s="133">
        <v>0</v>
      </c>
      <c r="F18" s="134">
        <v>0</v>
      </c>
      <c r="G18" s="92"/>
      <c r="H18" s="135">
        <v>0</v>
      </c>
      <c r="I18" s="136">
        <v>0</v>
      </c>
      <c r="J18" s="92"/>
      <c r="K18" s="142">
        <v>0</v>
      </c>
      <c r="L18" s="143">
        <v>0</v>
      </c>
      <c r="M18" s="139"/>
      <c r="N18" s="139"/>
      <c r="O18" s="139"/>
      <c r="P18" s="139"/>
      <c r="Q18" s="139"/>
      <c r="R18" s="139"/>
      <c r="S18" s="139"/>
      <c r="T18" s="139"/>
    </row>
    <row r="19" spans="2:20" x14ac:dyDescent="0.2">
      <c r="B19" s="122" t="s">
        <v>14</v>
      </c>
      <c r="C19" s="92">
        <v>1</v>
      </c>
      <c r="D19" s="92"/>
      <c r="E19" s="144">
        <v>55.83</v>
      </c>
      <c r="F19" s="145">
        <v>55.83</v>
      </c>
      <c r="G19" s="92"/>
      <c r="H19" s="146">
        <v>3714.5686102874629</v>
      </c>
      <c r="I19" s="147">
        <v>3730.5686399999995</v>
      </c>
      <c r="J19" s="92"/>
      <c r="K19" s="148">
        <v>22705.612654145374</v>
      </c>
      <c r="L19" s="149">
        <v>22803.41417976575</v>
      </c>
      <c r="M19" s="139"/>
      <c r="N19" s="139"/>
      <c r="O19" s="139"/>
      <c r="P19" s="139"/>
      <c r="Q19" s="139"/>
      <c r="R19" s="139"/>
      <c r="S19" s="139"/>
      <c r="T19" s="139"/>
    </row>
    <row r="20" spans="2:20" hidden="1" x14ac:dyDescent="0.2">
      <c r="B20" s="122" t="s">
        <v>107</v>
      </c>
      <c r="C20" s="92">
        <v>0</v>
      </c>
      <c r="D20" s="92"/>
      <c r="E20" s="133">
        <v>0</v>
      </c>
      <c r="F20" s="134">
        <v>0</v>
      </c>
      <c r="G20" s="92"/>
      <c r="H20" s="135">
        <v>0</v>
      </c>
      <c r="I20" s="136">
        <v>0</v>
      </c>
      <c r="J20" s="92"/>
      <c r="K20" s="137">
        <v>0</v>
      </c>
      <c r="L20" s="138">
        <v>0</v>
      </c>
      <c r="M20" s="139"/>
      <c r="N20" s="139"/>
      <c r="O20" s="139"/>
      <c r="P20" s="139"/>
      <c r="Q20" s="139"/>
      <c r="R20" s="139"/>
      <c r="S20" s="139"/>
      <c r="T20" s="139"/>
    </row>
    <row r="21" spans="2:20" hidden="1" x14ac:dyDescent="0.2">
      <c r="B21" s="150" t="s">
        <v>107</v>
      </c>
      <c r="C21" s="151">
        <v>0</v>
      </c>
      <c r="D21" s="151"/>
      <c r="E21" s="133">
        <v>0</v>
      </c>
      <c r="F21" s="134">
        <v>0</v>
      </c>
      <c r="G21" s="151"/>
      <c r="H21" s="135">
        <v>0</v>
      </c>
      <c r="I21" s="136">
        <v>0</v>
      </c>
      <c r="J21" s="151"/>
      <c r="K21" s="137">
        <v>0</v>
      </c>
      <c r="L21" s="138">
        <v>0</v>
      </c>
      <c r="M21" s="152"/>
      <c r="N21" s="152"/>
      <c r="O21" s="152"/>
      <c r="P21" s="152"/>
      <c r="Q21" s="152"/>
      <c r="R21" s="152"/>
      <c r="S21" s="152"/>
      <c r="T21" s="152"/>
    </row>
    <row r="22" spans="2:20" hidden="1" x14ac:dyDescent="0.2">
      <c r="B22" s="150" t="s">
        <v>107</v>
      </c>
      <c r="C22" s="151">
        <v>0</v>
      </c>
      <c r="D22" s="151"/>
      <c r="E22" s="133">
        <v>0</v>
      </c>
      <c r="F22" s="134">
        <v>0</v>
      </c>
      <c r="G22" s="151"/>
      <c r="H22" s="135">
        <v>0</v>
      </c>
      <c r="I22" s="136">
        <v>0</v>
      </c>
      <c r="J22" s="151"/>
      <c r="K22" s="137">
        <v>0</v>
      </c>
      <c r="L22" s="138">
        <v>0</v>
      </c>
      <c r="M22" s="152"/>
      <c r="N22" s="152"/>
      <c r="O22" s="152"/>
      <c r="P22" s="152"/>
      <c r="Q22" s="152"/>
      <c r="R22" s="152"/>
      <c r="S22" s="152"/>
      <c r="T22" s="152"/>
    </row>
    <row r="23" spans="2:20" hidden="1" x14ac:dyDescent="0.2">
      <c r="B23" s="150" t="s">
        <v>107</v>
      </c>
      <c r="C23" s="151">
        <v>0</v>
      </c>
      <c r="D23" s="151"/>
      <c r="E23" s="133">
        <v>0</v>
      </c>
      <c r="F23" s="134">
        <v>0</v>
      </c>
      <c r="G23" s="151"/>
      <c r="H23" s="135">
        <v>0</v>
      </c>
      <c r="I23" s="136">
        <v>0</v>
      </c>
      <c r="J23" s="151"/>
      <c r="K23" s="137">
        <v>0</v>
      </c>
      <c r="L23" s="138">
        <v>0</v>
      </c>
      <c r="M23" s="152"/>
      <c r="N23" s="152"/>
      <c r="O23" s="152"/>
      <c r="P23" s="152"/>
      <c r="Q23" s="152"/>
      <c r="R23" s="152"/>
      <c r="S23" s="152"/>
      <c r="T23" s="152"/>
    </row>
    <row r="24" spans="2:20" hidden="1" x14ac:dyDescent="0.2">
      <c r="B24" s="150" t="s">
        <v>107</v>
      </c>
      <c r="C24" s="151">
        <v>0</v>
      </c>
      <c r="D24" s="151"/>
      <c r="E24" s="133">
        <v>0</v>
      </c>
      <c r="F24" s="134">
        <v>0</v>
      </c>
      <c r="G24" s="151"/>
      <c r="H24" s="135">
        <v>0</v>
      </c>
      <c r="I24" s="136">
        <v>0</v>
      </c>
      <c r="J24" s="151"/>
      <c r="K24" s="137">
        <v>0</v>
      </c>
      <c r="L24" s="138">
        <v>0</v>
      </c>
      <c r="M24" s="152"/>
      <c r="N24" s="152"/>
      <c r="O24" s="152"/>
      <c r="P24" s="152"/>
      <c r="Q24" s="152"/>
      <c r="R24" s="152"/>
      <c r="S24" s="152"/>
      <c r="T24" s="152"/>
    </row>
    <row r="25" spans="2:20" hidden="1" x14ac:dyDescent="0.2">
      <c r="B25" s="150" t="s">
        <v>107</v>
      </c>
      <c r="C25" s="151">
        <v>0</v>
      </c>
      <c r="D25" s="151"/>
      <c r="E25" s="133">
        <v>0</v>
      </c>
      <c r="F25" s="134">
        <v>0</v>
      </c>
      <c r="G25" s="151"/>
      <c r="H25" s="135">
        <v>0</v>
      </c>
      <c r="I25" s="136">
        <v>0</v>
      </c>
      <c r="J25" s="151"/>
      <c r="K25" s="137">
        <v>0</v>
      </c>
      <c r="L25" s="138">
        <v>0</v>
      </c>
      <c r="M25" s="152"/>
      <c r="N25" s="152"/>
      <c r="O25" s="152"/>
      <c r="P25" s="152"/>
      <c r="Q25" s="152"/>
      <c r="R25" s="152"/>
      <c r="S25" s="152"/>
      <c r="T25" s="152"/>
    </row>
    <row r="26" spans="2:20" hidden="1" x14ac:dyDescent="0.2">
      <c r="B26" s="150" t="s">
        <v>107</v>
      </c>
      <c r="C26" s="151">
        <v>0</v>
      </c>
      <c r="D26" s="151"/>
      <c r="E26" s="133">
        <v>0</v>
      </c>
      <c r="F26" s="134">
        <v>0</v>
      </c>
      <c r="G26" s="151"/>
      <c r="H26" s="135">
        <v>0</v>
      </c>
      <c r="I26" s="136">
        <v>0</v>
      </c>
      <c r="J26" s="151"/>
      <c r="K26" s="137">
        <v>0</v>
      </c>
      <c r="L26" s="138">
        <v>0</v>
      </c>
      <c r="M26" s="152"/>
      <c r="N26" s="152"/>
      <c r="O26" s="152"/>
      <c r="P26" s="152"/>
      <c r="Q26" s="152"/>
      <c r="R26" s="152"/>
      <c r="S26" s="152"/>
      <c r="T26" s="152"/>
    </row>
    <row r="27" spans="2:20" hidden="1" x14ac:dyDescent="0.2">
      <c r="B27" s="150" t="s">
        <v>107</v>
      </c>
      <c r="C27" s="151">
        <v>0</v>
      </c>
      <c r="D27" s="151"/>
      <c r="E27" s="133">
        <v>0</v>
      </c>
      <c r="F27" s="134">
        <v>0</v>
      </c>
      <c r="G27" s="151"/>
      <c r="H27" s="135">
        <v>0</v>
      </c>
      <c r="I27" s="136">
        <v>0</v>
      </c>
      <c r="J27" s="151"/>
      <c r="K27" s="137">
        <v>0</v>
      </c>
      <c r="L27" s="138">
        <v>0</v>
      </c>
      <c r="M27" s="152"/>
      <c r="N27" s="152"/>
      <c r="O27" s="152"/>
      <c r="P27" s="152"/>
      <c r="Q27" s="152"/>
      <c r="R27" s="152"/>
      <c r="S27" s="152"/>
      <c r="T27" s="152"/>
    </row>
    <row r="28" spans="2:20" hidden="1" x14ac:dyDescent="0.2">
      <c r="B28" s="150" t="s">
        <v>107</v>
      </c>
      <c r="C28" s="151">
        <v>0</v>
      </c>
      <c r="D28" s="151"/>
      <c r="E28" s="133">
        <v>0</v>
      </c>
      <c r="F28" s="134">
        <v>0</v>
      </c>
      <c r="G28" s="151"/>
      <c r="H28" s="135">
        <v>0</v>
      </c>
      <c r="I28" s="136">
        <v>0</v>
      </c>
      <c r="J28" s="151"/>
      <c r="K28" s="137">
        <v>0</v>
      </c>
      <c r="L28" s="138">
        <v>0</v>
      </c>
      <c r="M28" s="152"/>
      <c r="N28" s="152"/>
      <c r="O28" s="152"/>
      <c r="P28" s="152"/>
      <c r="Q28" s="152"/>
      <c r="R28" s="152"/>
      <c r="S28" s="152"/>
      <c r="T28" s="152"/>
    </row>
    <row r="29" spans="2:20" hidden="1" x14ac:dyDescent="0.2">
      <c r="B29" s="150" t="s">
        <v>107</v>
      </c>
      <c r="C29" s="151">
        <v>0</v>
      </c>
      <c r="D29" s="151"/>
      <c r="E29" s="133">
        <v>0</v>
      </c>
      <c r="F29" s="134">
        <v>0</v>
      </c>
      <c r="G29" s="151"/>
      <c r="H29" s="135">
        <v>0</v>
      </c>
      <c r="I29" s="136">
        <v>0</v>
      </c>
      <c r="J29" s="151"/>
      <c r="K29" s="137">
        <v>0</v>
      </c>
      <c r="L29" s="138">
        <v>0</v>
      </c>
      <c r="M29" s="152"/>
      <c r="N29" s="152"/>
      <c r="O29" s="152"/>
      <c r="P29" s="152"/>
      <c r="Q29" s="152"/>
      <c r="R29" s="152"/>
      <c r="S29" s="152"/>
      <c r="T29" s="152"/>
    </row>
    <row r="30" spans="2:20" hidden="1" x14ac:dyDescent="0.2">
      <c r="B30" s="150" t="s">
        <v>107</v>
      </c>
      <c r="C30" s="151">
        <v>0</v>
      </c>
      <c r="D30" s="151"/>
      <c r="E30" s="144">
        <v>0</v>
      </c>
      <c r="F30" s="145">
        <v>0</v>
      </c>
      <c r="G30" s="151"/>
      <c r="H30" s="146">
        <v>0</v>
      </c>
      <c r="I30" s="147">
        <v>0</v>
      </c>
      <c r="J30" s="151"/>
      <c r="K30" s="148">
        <v>0</v>
      </c>
      <c r="L30" s="149">
        <v>0</v>
      </c>
      <c r="M30" s="152"/>
      <c r="N30" s="152"/>
      <c r="O30" s="152"/>
      <c r="P30" s="152"/>
      <c r="Q30" s="152"/>
      <c r="R30" s="152"/>
      <c r="S30" s="152"/>
      <c r="T30" s="152"/>
    </row>
    <row r="31" spans="2:20" x14ac:dyDescent="0.2">
      <c r="B31" s="122" t="s">
        <v>55</v>
      </c>
      <c r="C31" s="122"/>
      <c r="D31" s="122"/>
      <c r="E31" s="122"/>
      <c r="F31" s="122"/>
      <c r="G31" s="122"/>
      <c r="H31" s="122"/>
      <c r="I31" s="122"/>
      <c r="J31" s="122"/>
      <c r="K31" s="153">
        <v>790061.40845639771</v>
      </c>
      <c r="L31" s="153">
        <v>790159.2099820181</v>
      </c>
      <c r="M31" s="154"/>
      <c r="N31" s="154"/>
      <c r="O31" s="154"/>
      <c r="P31" s="154"/>
      <c r="Q31" s="155"/>
      <c r="R31" s="155"/>
      <c r="S31" s="155"/>
      <c r="T31" s="155"/>
    </row>
    <row r="32" spans="2:20" x14ac:dyDescent="0.2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2:16" x14ac:dyDescent="0.2">
      <c r="B33" s="122"/>
      <c r="C33" s="122"/>
      <c r="D33" s="122"/>
      <c r="E33" s="122"/>
      <c r="F33" s="122"/>
      <c r="G33" s="122"/>
      <c r="H33" s="122"/>
      <c r="I33" s="122"/>
      <c r="J33" s="156" t="s">
        <v>105</v>
      </c>
      <c r="K33" s="153">
        <v>767355.79580225237</v>
      </c>
      <c r="L33" s="153">
        <v>767355.79580225237</v>
      </c>
      <c r="M33" s="154"/>
      <c r="N33" s="154"/>
      <c r="O33" s="154"/>
      <c r="P33" s="154"/>
    </row>
    <row r="34" spans="2:16" x14ac:dyDescent="0.2">
      <c r="B34" s="52"/>
      <c r="K34" s="155"/>
      <c r="L34" s="155"/>
      <c r="M34" s="155"/>
      <c r="N34" s="155"/>
      <c r="O34" s="155"/>
      <c r="P34" s="155"/>
    </row>
    <row r="35" spans="2:16" x14ac:dyDescent="0.2">
      <c r="B35" s="52"/>
    </row>
    <row r="36" spans="2:16" x14ac:dyDescent="0.2">
      <c r="B36" s="52"/>
      <c r="M36" s="155"/>
      <c r="N36" s="155"/>
      <c r="O36" s="155"/>
      <c r="P36" s="155"/>
    </row>
    <row r="37" spans="2:16" x14ac:dyDescent="0.2">
      <c r="B37" s="52"/>
    </row>
    <row r="38" spans="2:16" x14ac:dyDescent="0.2">
      <c r="B38" s="52"/>
      <c r="O38" s="155"/>
      <c r="P38" s="155"/>
    </row>
    <row r="39" spans="2:16" x14ac:dyDescent="0.2">
      <c r="B39" s="52"/>
    </row>
    <row r="40" spans="2:16" x14ac:dyDescent="0.2">
      <c r="B40" s="52"/>
    </row>
    <row r="41" spans="2:16" x14ac:dyDescent="0.2">
      <c r="B41" s="52"/>
    </row>
    <row r="42" spans="2:16" x14ac:dyDescent="0.2">
      <c r="B42" s="52"/>
    </row>
    <row r="43" spans="2:16" x14ac:dyDescent="0.2">
      <c r="B43" s="52"/>
    </row>
    <row r="44" spans="2:16" x14ac:dyDescent="0.2">
      <c r="B44" s="52"/>
    </row>
    <row r="45" spans="2:16" x14ac:dyDescent="0.2">
      <c r="B45" s="52"/>
    </row>
    <row r="46" spans="2:16" x14ac:dyDescent="0.2">
      <c r="B46" s="52"/>
    </row>
    <row r="47" spans="2:16" x14ac:dyDescent="0.2">
      <c r="B47" s="52"/>
    </row>
    <row r="48" spans="2:16" x14ac:dyDescent="0.2">
      <c r="B48" s="52"/>
    </row>
    <row r="49" spans="2:2" x14ac:dyDescent="0.2">
      <c r="B49" s="52"/>
    </row>
    <row r="50" spans="2:2" x14ac:dyDescent="0.2">
      <c r="B50" s="52"/>
    </row>
    <row r="51" spans="2:2" x14ac:dyDescent="0.2">
      <c r="B51" s="52"/>
    </row>
    <row r="52" spans="2:2" x14ac:dyDescent="0.2">
      <c r="B52" s="52"/>
    </row>
    <row r="53" spans="2:2" x14ac:dyDescent="0.2">
      <c r="B53" s="52"/>
    </row>
    <row r="54" spans="2:2" x14ac:dyDescent="0.2">
      <c r="B54" s="52"/>
    </row>
    <row r="55" spans="2:2" x14ac:dyDescent="0.2">
      <c r="B55" s="52"/>
    </row>
    <row r="56" spans="2:2" x14ac:dyDescent="0.2">
      <c r="B56" s="52"/>
    </row>
    <row r="57" spans="2:2" x14ac:dyDescent="0.2">
      <c r="B57" s="52"/>
    </row>
    <row r="58" spans="2:2" x14ac:dyDescent="0.2">
      <c r="B58" s="52"/>
    </row>
    <row r="59" spans="2:2" x14ac:dyDescent="0.2">
      <c r="B59" s="52"/>
    </row>
    <row r="60" spans="2:2" x14ac:dyDescent="0.2">
      <c r="B60" s="52"/>
    </row>
    <row r="61" spans="2:2" x14ac:dyDescent="0.2">
      <c r="B61" s="52"/>
    </row>
    <row r="62" spans="2:2" x14ac:dyDescent="0.2">
      <c r="B62" s="52"/>
    </row>
    <row r="63" spans="2:2" x14ac:dyDescent="0.2">
      <c r="B63" s="52"/>
    </row>
    <row r="64" spans="2:2" x14ac:dyDescent="0.2">
      <c r="B64" s="52"/>
    </row>
    <row r="65" spans="2:2" x14ac:dyDescent="0.2">
      <c r="B65" s="52"/>
    </row>
    <row r="66" spans="2:2" x14ac:dyDescent="0.2">
      <c r="B66" s="52"/>
    </row>
    <row r="67" spans="2:2" x14ac:dyDescent="0.2">
      <c r="B67" s="52"/>
    </row>
    <row r="68" spans="2:2" x14ac:dyDescent="0.2">
      <c r="B68" s="52"/>
    </row>
    <row r="69" spans="2:2" x14ac:dyDescent="0.2">
      <c r="B69" s="52"/>
    </row>
    <row r="70" spans="2:2" x14ac:dyDescent="0.2">
      <c r="B70" s="52"/>
    </row>
    <row r="71" spans="2:2" x14ac:dyDescent="0.2">
      <c r="B71" s="52"/>
    </row>
    <row r="72" spans="2:2" x14ac:dyDescent="0.2">
      <c r="B72" s="52"/>
    </row>
    <row r="73" spans="2:2" x14ac:dyDescent="0.2">
      <c r="B73" s="52"/>
    </row>
    <row r="74" spans="2:2" x14ac:dyDescent="0.2">
      <c r="B74" s="52"/>
    </row>
    <row r="75" spans="2:2" x14ac:dyDescent="0.2">
      <c r="B75" s="52"/>
    </row>
    <row r="76" spans="2:2" x14ac:dyDescent="0.2">
      <c r="B76" s="52"/>
    </row>
    <row r="77" spans="2:2" x14ac:dyDescent="0.2">
      <c r="B77" s="52"/>
    </row>
    <row r="78" spans="2:2" x14ac:dyDescent="0.2">
      <c r="B78" s="52"/>
    </row>
    <row r="79" spans="2:2" x14ac:dyDescent="0.2">
      <c r="B79" s="52"/>
    </row>
    <row r="80" spans="2:2" x14ac:dyDescent="0.2">
      <c r="B80" s="52"/>
    </row>
    <row r="81" spans="2:2" x14ac:dyDescent="0.2">
      <c r="B81" s="52"/>
    </row>
    <row r="82" spans="2:2" x14ac:dyDescent="0.2">
      <c r="B82" s="52"/>
    </row>
    <row r="83" spans="2:2" x14ac:dyDescent="0.2">
      <c r="B83" s="52"/>
    </row>
    <row r="84" spans="2:2" x14ac:dyDescent="0.2">
      <c r="B84" s="52"/>
    </row>
    <row r="85" spans="2:2" x14ac:dyDescent="0.2">
      <c r="B85" s="52"/>
    </row>
    <row r="86" spans="2:2" x14ac:dyDescent="0.2">
      <c r="B86" s="52"/>
    </row>
    <row r="87" spans="2:2" x14ac:dyDescent="0.2">
      <c r="B87" s="52"/>
    </row>
    <row r="88" spans="2:2" x14ac:dyDescent="0.2">
      <c r="B88" s="52"/>
    </row>
    <row r="89" spans="2:2" x14ac:dyDescent="0.2">
      <c r="B89" s="52"/>
    </row>
    <row r="90" spans="2:2" x14ac:dyDescent="0.2">
      <c r="B90" s="52"/>
    </row>
    <row r="91" spans="2:2" x14ac:dyDescent="0.2">
      <c r="B91" s="52"/>
    </row>
    <row r="92" spans="2:2" x14ac:dyDescent="0.2">
      <c r="B92" s="52"/>
    </row>
    <row r="93" spans="2:2" x14ac:dyDescent="0.2">
      <c r="B93" s="52"/>
    </row>
    <row r="94" spans="2:2" x14ac:dyDescent="0.2">
      <c r="B94" s="52"/>
    </row>
    <row r="95" spans="2:2" x14ac:dyDescent="0.2">
      <c r="B95" s="52"/>
    </row>
    <row r="96" spans="2:2" x14ac:dyDescent="0.2">
      <c r="B96" s="52"/>
    </row>
    <row r="97" spans="2:2" x14ac:dyDescent="0.2">
      <c r="B97" s="52"/>
    </row>
    <row r="98" spans="2:2" x14ac:dyDescent="0.2">
      <c r="B98" s="52"/>
    </row>
    <row r="99" spans="2:2" x14ac:dyDescent="0.2">
      <c r="B99" s="52"/>
    </row>
    <row r="100" spans="2:2" x14ac:dyDescent="0.2">
      <c r="B100" s="52"/>
    </row>
    <row r="101" spans="2:2" x14ac:dyDescent="0.2">
      <c r="B101" s="52"/>
    </row>
    <row r="102" spans="2:2" x14ac:dyDescent="0.2">
      <c r="B102" s="52"/>
    </row>
    <row r="103" spans="2:2" x14ac:dyDescent="0.2">
      <c r="B103" s="52"/>
    </row>
    <row r="104" spans="2:2" x14ac:dyDescent="0.2">
      <c r="B104" s="52"/>
    </row>
    <row r="105" spans="2:2" x14ac:dyDescent="0.2">
      <c r="B105" s="52"/>
    </row>
    <row r="106" spans="2:2" x14ac:dyDescent="0.2">
      <c r="B106" s="52"/>
    </row>
    <row r="107" spans="2:2" x14ac:dyDescent="0.2">
      <c r="B107" s="52"/>
    </row>
    <row r="108" spans="2:2" x14ac:dyDescent="0.2">
      <c r="B108" s="52"/>
    </row>
    <row r="109" spans="2:2" x14ac:dyDescent="0.2">
      <c r="B109" s="52"/>
    </row>
    <row r="110" spans="2:2" x14ac:dyDescent="0.2">
      <c r="B110" s="52"/>
    </row>
    <row r="111" spans="2:2" x14ac:dyDescent="0.2">
      <c r="B111" s="52"/>
    </row>
    <row r="112" spans="2:2" x14ac:dyDescent="0.2">
      <c r="B112" s="52"/>
    </row>
    <row r="113" spans="2:2" x14ac:dyDescent="0.2">
      <c r="B113" s="52"/>
    </row>
    <row r="114" spans="2:2" x14ac:dyDescent="0.2">
      <c r="B114" s="52"/>
    </row>
    <row r="115" spans="2:2" x14ac:dyDescent="0.2">
      <c r="B115" s="52"/>
    </row>
    <row r="116" spans="2:2" x14ac:dyDescent="0.2">
      <c r="B116" s="52"/>
    </row>
    <row r="117" spans="2:2" x14ac:dyDescent="0.2">
      <c r="B117" s="52"/>
    </row>
    <row r="118" spans="2:2" x14ac:dyDescent="0.2">
      <c r="B118" s="52"/>
    </row>
    <row r="119" spans="2:2" x14ac:dyDescent="0.2">
      <c r="B119" s="52"/>
    </row>
    <row r="120" spans="2:2" x14ac:dyDescent="0.2">
      <c r="B120" s="52"/>
    </row>
    <row r="121" spans="2:2" x14ac:dyDescent="0.2">
      <c r="B121" s="52"/>
    </row>
  </sheetData>
  <conditionalFormatting sqref="B2">
    <cfRule type="expression" dxfId="4" priority="1" stopIfTrue="1">
      <formula>A1 &gt; 30</formula>
    </cfRule>
  </conditionalFormatting>
  <conditionalFormatting sqref="C2:J2">
    <cfRule type="expression" dxfId="3" priority="2" stopIfTrue="1">
      <formula>#REF! &gt; 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90" zoomScaleNormal="90" workbookViewId="0">
      <selection activeCell="B3" sqref="A2:B3"/>
    </sheetView>
  </sheetViews>
  <sheetFormatPr defaultRowHeight="15.75" x14ac:dyDescent="0.25"/>
  <cols>
    <col min="1" max="1" width="9.140625" style="14"/>
    <col min="2" max="2" width="38.5703125" style="14" customWidth="1"/>
    <col min="3" max="3" width="7.42578125" style="14" hidden="1" customWidth="1"/>
    <col min="4" max="5" width="19.5703125" style="14" customWidth="1"/>
    <col min="6" max="9" width="17.140625" style="14" customWidth="1"/>
    <col min="10" max="10" width="17" style="14" customWidth="1"/>
    <col min="11" max="11" width="16.140625" style="14" customWidth="1"/>
    <col min="12" max="16384" width="9.140625" style="14"/>
  </cols>
  <sheetData>
    <row r="1" spans="1:15" ht="18.75" x14ac:dyDescent="0.3">
      <c r="A1" s="30"/>
      <c r="B1" s="2" t="s">
        <v>16</v>
      </c>
      <c r="C1" s="31"/>
      <c r="D1" s="31"/>
      <c r="E1" s="31"/>
      <c r="F1" s="31"/>
      <c r="G1" s="31"/>
      <c r="H1" s="31"/>
      <c r="I1" s="31"/>
      <c r="J1" s="31"/>
      <c r="K1" s="32" t="s">
        <v>20</v>
      </c>
      <c r="L1" s="31"/>
      <c r="M1" s="33"/>
      <c r="N1" s="31"/>
      <c r="O1" s="31"/>
    </row>
    <row r="2" spans="1:15" x14ac:dyDescent="0.25">
      <c r="A2" s="5"/>
      <c r="B2" s="6"/>
      <c r="C2" s="33"/>
      <c r="D2" s="33"/>
      <c r="E2" s="33"/>
      <c r="F2" s="34"/>
      <c r="G2" s="33"/>
      <c r="H2" s="33"/>
      <c r="I2" s="33"/>
      <c r="J2" s="33"/>
      <c r="K2" s="33"/>
      <c r="L2" s="33"/>
      <c r="M2" s="33"/>
      <c r="N2" s="31"/>
      <c r="O2" s="31"/>
    </row>
    <row r="3" spans="1:15" ht="20.25" x14ac:dyDescent="0.3">
      <c r="A3" s="35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25">
      <c r="A4" s="36"/>
    </row>
    <row r="5" spans="1:15" x14ac:dyDescent="0.25">
      <c r="A5" s="36"/>
    </row>
    <row r="6" spans="1:15" x14ac:dyDescent="0.25">
      <c r="A6" s="36"/>
      <c r="C6" s="37"/>
      <c r="E6" s="37"/>
      <c r="F6" s="37"/>
      <c r="I6" s="37"/>
    </row>
    <row r="7" spans="1:15" x14ac:dyDescent="0.25">
      <c r="A7" s="36"/>
      <c r="B7" s="38" t="s">
        <v>17</v>
      </c>
      <c r="C7" s="37"/>
      <c r="D7" s="39">
        <v>2022</v>
      </c>
      <c r="E7" s="39">
        <v>2023</v>
      </c>
      <c r="F7" s="39">
        <v>2024</v>
      </c>
      <c r="G7" s="39">
        <v>2025</v>
      </c>
      <c r="H7" s="39">
        <v>2026</v>
      </c>
      <c r="I7" s="39">
        <v>2027</v>
      </c>
    </row>
    <row r="8" spans="1:15" x14ac:dyDescent="0.25">
      <c r="A8" s="36"/>
      <c r="C8" s="37"/>
      <c r="D8" s="37"/>
      <c r="E8" s="37"/>
      <c r="F8" s="37"/>
      <c r="G8" s="37"/>
      <c r="H8" s="37"/>
      <c r="I8" s="37"/>
    </row>
    <row r="9" spans="1:15" x14ac:dyDescent="0.25">
      <c r="A9" s="36"/>
      <c r="B9" s="37" t="s">
        <v>6</v>
      </c>
      <c r="C9" s="40">
        <v>1</v>
      </c>
      <c r="D9" s="41">
        <v>62.93</v>
      </c>
      <c r="E9" s="41">
        <v>62.93</v>
      </c>
      <c r="F9" s="41">
        <v>64.319999999999993</v>
      </c>
      <c r="G9" s="41">
        <v>64.319999999999993</v>
      </c>
      <c r="H9" s="41">
        <v>65.67</v>
      </c>
      <c r="I9" s="41">
        <v>65.67</v>
      </c>
    </row>
    <row r="10" spans="1:15" x14ac:dyDescent="0.25">
      <c r="A10" s="36"/>
      <c r="B10" s="37" t="s">
        <v>7</v>
      </c>
      <c r="C10" s="40">
        <v>1</v>
      </c>
      <c r="D10" s="41">
        <v>58.17</v>
      </c>
      <c r="E10" s="41">
        <v>58.17</v>
      </c>
      <c r="F10" s="41">
        <v>58.4</v>
      </c>
      <c r="G10" s="41">
        <v>58.4</v>
      </c>
      <c r="H10" s="41">
        <v>59.21</v>
      </c>
      <c r="I10" s="41">
        <v>59.21</v>
      </c>
    </row>
    <row r="11" spans="1:15" x14ac:dyDescent="0.25">
      <c r="A11" s="36"/>
      <c r="B11" s="37" t="s">
        <v>8</v>
      </c>
      <c r="C11" s="40">
        <v>1</v>
      </c>
      <c r="D11" s="41">
        <v>68.34</v>
      </c>
      <c r="E11" s="41">
        <v>68.34</v>
      </c>
      <c r="F11" s="41">
        <v>69.47</v>
      </c>
      <c r="G11" s="41">
        <v>69.47</v>
      </c>
      <c r="H11" s="41">
        <v>69.62</v>
      </c>
      <c r="I11" s="41">
        <v>69.62</v>
      </c>
    </row>
    <row r="12" spans="1:15" x14ac:dyDescent="0.25">
      <c r="A12" s="36"/>
      <c r="B12" s="37" t="s">
        <v>9</v>
      </c>
      <c r="C12" s="40">
        <v>1</v>
      </c>
      <c r="D12" s="41">
        <v>77.61</v>
      </c>
      <c r="E12" s="41">
        <v>77.61</v>
      </c>
      <c r="F12" s="41">
        <v>78.34</v>
      </c>
      <c r="G12" s="41">
        <v>78.34</v>
      </c>
      <c r="H12" s="41">
        <v>79.010000000000005</v>
      </c>
      <c r="I12" s="41">
        <v>79.010000000000005</v>
      </c>
    </row>
    <row r="13" spans="1:15" x14ac:dyDescent="0.25">
      <c r="A13" s="36"/>
      <c r="B13" s="37" t="s">
        <v>10</v>
      </c>
      <c r="C13" s="40">
        <v>1</v>
      </c>
      <c r="D13" s="41">
        <v>70.09</v>
      </c>
      <c r="E13" s="41">
        <v>70.09</v>
      </c>
      <c r="F13" s="41">
        <v>87.52</v>
      </c>
      <c r="G13" s="41">
        <v>87.52</v>
      </c>
      <c r="H13" s="41">
        <v>94.94</v>
      </c>
      <c r="I13" s="41">
        <v>94.94</v>
      </c>
    </row>
    <row r="14" spans="1:15" x14ac:dyDescent="0.25">
      <c r="A14" s="36"/>
      <c r="B14" s="37" t="s">
        <v>11</v>
      </c>
      <c r="C14" s="40">
        <v>1</v>
      </c>
      <c r="D14" s="41">
        <v>67.28</v>
      </c>
      <c r="E14" s="41">
        <v>67.28</v>
      </c>
      <c r="F14" s="41">
        <v>69.319999999999993</v>
      </c>
      <c r="G14" s="41">
        <v>69.319999999999993</v>
      </c>
      <c r="H14" s="41">
        <v>74.05</v>
      </c>
      <c r="I14" s="41">
        <v>74.05</v>
      </c>
    </row>
    <row r="15" spans="1:15" x14ac:dyDescent="0.25">
      <c r="A15" s="36"/>
      <c r="B15" s="37" t="s">
        <v>12</v>
      </c>
      <c r="C15" s="40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</row>
    <row r="16" spans="1:15" hidden="1" x14ac:dyDescent="0.25">
      <c r="A16" s="36"/>
      <c r="B16" s="37" t="s">
        <v>13</v>
      </c>
      <c r="C16" s="40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</row>
    <row r="17" spans="1:11" x14ac:dyDescent="0.25">
      <c r="A17" s="36"/>
      <c r="B17" s="37" t="s">
        <v>14</v>
      </c>
      <c r="C17" s="40">
        <v>1</v>
      </c>
      <c r="D17" s="41">
        <v>55.83</v>
      </c>
      <c r="E17" s="41">
        <v>55.83</v>
      </c>
      <c r="F17" s="41">
        <v>57.58</v>
      </c>
      <c r="G17" s="41">
        <v>57.58</v>
      </c>
      <c r="H17" s="41">
        <v>59.89</v>
      </c>
      <c r="I17" s="41">
        <v>59.89</v>
      </c>
    </row>
    <row r="18" spans="1:11" x14ac:dyDescent="0.25">
      <c r="A18" s="36"/>
      <c r="B18" s="37"/>
      <c r="C18" s="37"/>
      <c r="D18" s="42"/>
      <c r="E18" s="42"/>
      <c r="F18" s="42"/>
      <c r="G18" s="42"/>
      <c r="H18" s="42"/>
      <c r="I18" s="42"/>
    </row>
    <row r="19" spans="1:11" x14ac:dyDescent="0.25">
      <c r="A19" s="36"/>
      <c r="B19" s="38" t="s">
        <v>18</v>
      </c>
      <c r="C19" s="37"/>
      <c r="D19" s="39">
        <v>2022</v>
      </c>
      <c r="E19" s="39">
        <v>2023</v>
      </c>
      <c r="F19" s="39">
        <v>2024</v>
      </c>
      <c r="G19" s="39">
        <v>2025</v>
      </c>
      <c r="H19" s="39">
        <v>2026</v>
      </c>
      <c r="I19" s="39">
        <v>2027</v>
      </c>
    </row>
    <row r="20" spans="1:11" x14ac:dyDescent="0.25">
      <c r="A20" s="36"/>
      <c r="B20" s="38"/>
      <c r="C20" s="37"/>
      <c r="E20" s="37"/>
      <c r="F20" s="37"/>
      <c r="G20" s="37"/>
      <c r="H20" s="37"/>
      <c r="I20" s="37"/>
      <c r="J20" s="42"/>
      <c r="K20" s="42"/>
    </row>
    <row r="21" spans="1:11" x14ac:dyDescent="0.25">
      <c r="A21" s="36"/>
      <c r="B21" s="14" t="s">
        <v>6</v>
      </c>
      <c r="D21" s="43">
        <v>3971.4598799999999</v>
      </c>
      <c r="E21" s="43">
        <v>3971.4598799999999</v>
      </c>
      <c r="F21" s="43">
        <v>4021.0727853168</v>
      </c>
      <c r="G21" s="43">
        <v>4021.0766697960007</v>
      </c>
      <c r="H21" s="43">
        <v>4031.3397047645567</v>
      </c>
      <c r="I21" s="43">
        <v>4042.3883761459197</v>
      </c>
      <c r="J21" s="37"/>
      <c r="K21" s="37"/>
    </row>
    <row r="22" spans="1:11" x14ac:dyDescent="0.25">
      <c r="A22" s="36"/>
      <c r="B22" s="14" t="s">
        <v>7</v>
      </c>
      <c r="D22" s="43">
        <v>6857.0739599999997</v>
      </c>
      <c r="E22" s="43">
        <v>6857.0739599999997</v>
      </c>
      <c r="F22" s="43">
        <v>6859.9756892160003</v>
      </c>
      <c r="G22" s="43">
        <v>6859.9711986000011</v>
      </c>
      <c r="H22" s="43">
        <v>6919.2226377231364</v>
      </c>
      <c r="I22" s="43">
        <v>6938.1748702640416</v>
      </c>
    </row>
    <row r="23" spans="1:11" x14ac:dyDescent="0.25">
      <c r="A23" s="36"/>
      <c r="B23" s="14" t="s">
        <v>8</v>
      </c>
      <c r="D23" s="43">
        <v>714.12396000000001</v>
      </c>
      <c r="E23" s="43">
        <v>714.12396000000001</v>
      </c>
      <c r="F23" s="43">
        <v>714.67256448000001</v>
      </c>
      <c r="G23" s="43">
        <v>714.67135487999997</v>
      </c>
      <c r="H23" s="43">
        <v>718.42166645759994</v>
      </c>
      <c r="I23" s="43">
        <v>720.38872571904005</v>
      </c>
    </row>
    <row r="24" spans="1:11" x14ac:dyDescent="0.25">
      <c r="A24" s="36"/>
      <c r="B24" s="14" t="s">
        <v>9</v>
      </c>
      <c r="D24" s="43">
        <v>9147.1569599999984</v>
      </c>
      <c r="E24" s="43">
        <v>9147.1569599999984</v>
      </c>
      <c r="F24" s="43">
        <v>9299.4802559999989</v>
      </c>
      <c r="G24" s="43">
        <v>9299.4758399999992</v>
      </c>
      <c r="H24" s="43">
        <v>9274.0718400000005</v>
      </c>
      <c r="I24" s="43">
        <v>9299.4758399999992</v>
      </c>
    </row>
    <row r="25" spans="1:11" x14ac:dyDescent="0.25">
      <c r="A25" s="36"/>
      <c r="B25" s="14" t="s">
        <v>10</v>
      </c>
      <c r="D25" s="44">
        <v>8412.7886400000007</v>
      </c>
      <c r="E25" s="44">
        <v>8412.7886400000007</v>
      </c>
      <c r="F25" s="43">
        <v>11071.806770073601</v>
      </c>
      <c r="G25" s="43">
        <v>11071.803847488</v>
      </c>
      <c r="H25" s="43">
        <v>11112.221889868186</v>
      </c>
      <c r="I25" s="43">
        <v>11142.663392111921</v>
      </c>
    </row>
    <row r="26" spans="1:11" x14ac:dyDescent="0.25">
      <c r="A26" s="36"/>
      <c r="B26" s="14" t="s">
        <v>11</v>
      </c>
      <c r="D26" s="43">
        <v>11952.44184</v>
      </c>
      <c r="E26" s="43">
        <v>11952.44184</v>
      </c>
      <c r="F26" s="43">
        <v>12080.018306707201</v>
      </c>
      <c r="G26" s="43">
        <v>12080.013082272</v>
      </c>
      <c r="H26" s="43">
        <v>12140.979491987224</v>
      </c>
      <c r="I26" s="43">
        <v>12174.237184313723</v>
      </c>
    </row>
    <row r="27" spans="1:11" x14ac:dyDescent="0.25">
      <c r="A27" s="36"/>
      <c r="B27" s="14" t="s">
        <v>12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1:11" hidden="1" x14ac:dyDescent="0.25">
      <c r="A28" s="36"/>
      <c r="B28" s="14" t="s">
        <v>13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</row>
    <row r="29" spans="1:11" x14ac:dyDescent="0.25">
      <c r="A29" s="36"/>
      <c r="B29" s="14" t="s">
        <v>14</v>
      </c>
      <c r="D29" s="45">
        <v>3714.5686102874629</v>
      </c>
      <c r="E29" s="45">
        <v>3730.5686399999995</v>
      </c>
      <c r="F29" s="45">
        <v>3530.8622064451702</v>
      </c>
      <c r="G29" s="45">
        <v>3521.2150419466857</v>
      </c>
      <c r="H29" s="45">
        <v>3521.2150419466857</v>
      </c>
      <c r="I29" s="45">
        <v>3521.2150419466857</v>
      </c>
    </row>
    <row r="30" spans="1:11" x14ac:dyDescent="0.25">
      <c r="A30" s="36"/>
      <c r="D30" s="44">
        <v>44769.61385028746</v>
      </c>
      <c r="E30" s="44">
        <v>44785.613879999997</v>
      </c>
      <c r="F30" s="43">
        <v>47577.888578238766</v>
      </c>
      <c r="G30" s="43">
        <v>47568.227034982687</v>
      </c>
      <c r="H30" s="43">
        <v>47717.472272747393</v>
      </c>
      <c r="I30" s="43">
        <v>47838.543430501326</v>
      </c>
    </row>
    <row r="31" spans="1:11" x14ac:dyDescent="0.25">
      <c r="A31" s="36"/>
      <c r="D31" s="46"/>
      <c r="E31" s="46"/>
      <c r="F31" s="46"/>
      <c r="G31" s="46"/>
      <c r="H31" s="46"/>
      <c r="I31" s="46"/>
    </row>
    <row r="32" spans="1:11" x14ac:dyDescent="0.25">
      <c r="A32" s="36"/>
      <c r="B32" s="38" t="s">
        <v>19</v>
      </c>
      <c r="D32" s="39">
        <v>2022</v>
      </c>
      <c r="E32" s="39">
        <v>2023</v>
      </c>
      <c r="F32" s="39">
        <v>2024</v>
      </c>
      <c r="G32" s="39">
        <v>2025</v>
      </c>
      <c r="H32" s="39">
        <v>2026</v>
      </c>
      <c r="I32" s="39">
        <v>2027</v>
      </c>
    </row>
    <row r="33" spans="1:9" x14ac:dyDescent="0.25">
      <c r="A33" s="36"/>
      <c r="D33" s="37"/>
      <c r="E33" s="37"/>
      <c r="F33" s="37"/>
      <c r="G33" s="37"/>
      <c r="H33" s="37"/>
      <c r="I33" s="37"/>
    </row>
    <row r="34" spans="1:9" x14ac:dyDescent="0.25">
      <c r="A34" s="36"/>
      <c r="B34" s="14" t="s">
        <v>6</v>
      </c>
      <c r="D34" s="47">
        <v>249923.9702484</v>
      </c>
      <c r="E34" s="47">
        <v>249923.9702484</v>
      </c>
      <c r="F34" s="47">
        <v>258635.40155157656</v>
      </c>
      <c r="G34" s="47">
        <v>258635.65140127874</v>
      </c>
      <c r="H34" s="47">
        <v>264738.07841188845</v>
      </c>
      <c r="I34" s="47">
        <v>265463.64466150256</v>
      </c>
    </row>
    <row r="35" spans="1:9" x14ac:dyDescent="0.25">
      <c r="A35" s="36"/>
      <c r="B35" s="14" t="s">
        <v>7</v>
      </c>
      <c r="D35" s="47">
        <v>398875.99225319998</v>
      </c>
      <c r="E35" s="47">
        <v>398875.99225319998</v>
      </c>
      <c r="F35" s="47">
        <v>400622.58025021444</v>
      </c>
      <c r="G35" s="47">
        <v>400622.31799824006</v>
      </c>
      <c r="H35" s="47">
        <v>409687.1723795869</v>
      </c>
      <c r="I35" s="47">
        <v>410809.3340683339</v>
      </c>
    </row>
    <row r="36" spans="1:9" x14ac:dyDescent="0.25">
      <c r="A36" s="36"/>
      <c r="B36" s="14" t="s">
        <v>8</v>
      </c>
      <c r="D36" s="47">
        <v>48803.231426400002</v>
      </c>
      <c r="E36" s="47">
        <v>48803.231426400002</v>
      </c>
      <c r="F36" s="47">
        <v>49648.303054425596</v>
      </c>
      <c r="G36" s="47">
        <v>49648.2190235136</v>
      </c>
      <c r="H36" s="47">
        <v>50016.516418778112</v>
      </c>
      <c r="I36" s="47">
        <v>50153.463084559575</v>
      </c>
    </row>
    <row r="37" spans="1:9" x14ac:dyDescent="0.25">
      <c r="A37" s="36"/>
      <c r="B37" s="14" t="s">
        <v>9</v>
      </c>
      <c r="D37" s="47">
        <v>709910.85166559985</v>
      </c>
      <c r="E37" s="47">
        <v>709910.85166559985</v>
      </c>
      <c r="F37" s="47">
        <v>728521.28325503995</v>
      </c>
      <c r="G37" s="47">
        <v>728520.93730559992</v>
      </c>
      <c r="H37" s="47">
        <v>732744.4160784001</v>
      </c>
      <c r="I37" s="47">
        <v>734751.58611839998</v>
      </c>
    </row>
    <row r="38" spans="1:9" x14ac:dyDescent="0.25">
      <c r="A38" s="36"/>
      <c r="B38" s="14" t="s">
        <v>10</v>
      </c>
      <c r="D38" s="48">
        <v>589652.35577760008</v>
      </c>
      <c r="E38" s="48">
        <v>589652.35577760008</v>
      </c>
      <c r="F38" s="47">
        <v>969004.52851684147</v>
      </c>
      <c r="G38" s="47">
        <v>969004.27273214969</v>
      </c>
      <c r="H38" s="47">
        <v>1054994.3462240854</v>
      </c>
      <c r="I38" s="47">
        <v>1057884.4624471057</v>
      </c>
    </row>
    <row r="39" spans="1:9" x14ac:dyDescent="0.25">
      <c r="A39" s="36"/>
      <c r="B39" s="14" t="s">
        <v>11</v>
      </c>
      <c r="D39" s="47">
        <v>804160.28699519997</v>
      </c>
      <c r="E39" s="47">
        <v>804160.28699519997</v>
      </c>
      <c r="F39" s="47">
        <v>837386.86902094306</v>
      </c>
      <c r="G39" s="47">
        <v>837386.50686309498</v>
      </c>
      <c r="H39" s="47">
        <v>899039.53138165385</v>
      </c>
      <c r="I39" s="47">
        <v>901502.26349843107</v>
      </c>
    </row>
    <row r="40" spans="1:9" x14ac:dyDescent="0.25">
      <c r="A40" s="36"/>
      <c r="B40" s="14" t="s">
        <v>12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</row>
    <row r="41" spans="1:9" hidden="1" x14ac:dyDescent="0.25">
      <c r="A41" s="36"/>
      <c r="B41" s="14" t="s">
        <v>13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</row>
    <row r="42" spans="1:9" x14ac:dyDescent="0.25">
      <c r="A42" s="36"/>
      <c r="B42" s="14" t="s">
        <v>14</v>
      </c>
      <c r="D42" s="49">
        <v>207384.36551234906</v>
      </c>
      <c r="E42" s="49">
        <v>208277.64717119996</v>
      </c>
      <c r="F42" s="49">
        <v>203307.04584711289</v>
      </c>
      <c r="G42" s="49">
        <v>202751.56211529014</v>
      </c>
      <c r="H42" s="49">
        <v>210885.56886218701</v>
      </c>
      <c r="I42" s="49">
        <v>210885.56886218701</v>
      </c>
    </row>
    <row r="43" spans="1:9" x14ac:dyDescent="0.25">
      <c r="A43" s="36"/>
      <c r="D43" s="50">
        <v>3008711.0538787493</v>
      </c>
      <c r="E43" s="50">
        <v>3009604.3355375999</v>
      </c>
      <c r="F43" s="42">
        <v>3447126.0114961541</v>
      </c>
      <c r="G43" s="42">
        <v>3446569.4674391672</v>
      </c>
      <c r="H43" s="42">
        <v>3622105.6297565796</v>
      </c>
      <c r="I43" s="42">
        <v>3631450.3227405199</v>
      </c>
    </row>
    <row r="44" spans="1:9" x14ac:dyDescent="0.25">
      <c r="A44" s="36"/>
    </row>
    <row r="45" spans="1:9" x14ac:dyDescent="0.25">
      <c r="A45" s="36"/>
    </row>
    <row r="46" spans="1:9" x14ac:dyDescent="0.25">
      <c r="A46" s="36"/>
    </row>
    <row r="47" spans="1:9" x14ac:dyDescent="0.25">
      <c r="A47" s="36"/>
    </row>
    <row r="48" spans="1:9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</sheetData>
  <conditionalFormatting sqref="B2">
    <cfRule type="expression" dxfId="2" priority="1" stopIfTrue="1">
      <formula>A1 &gt; 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3" workbookViewId="0">
      <selection activeCell="C43" sqref="C43"/>
    </sheetView>
  </sheetViews>
  <sheetFormatPr defaultRowHeight="15.75" x14ac:dyDescent="0.25"/>
  <cols>
    <col min="1" max="1" width="12.42578125" style="10" customWidth="1"/>
    <col min="2" max="2" width="12.5703125" style="13" customWidth="1"/>
    <col min="3" max="3" width="30.28515625" style="13" bestFit="1" customWidth="1"/>
    <col min="4" max="9" width="12.5703125" style="13" customWidth="1"/>
    <col min="10" max="11" width="9.140625" style="13"/>
    <col min="12" max="12" width="11.5703125" style="13" bestFit="1" customWidth="1"/>
    <col min="13" max="16384" width="9.140625" style="13"/>
  </cols>
  <sheetData>
    <row r="1" spans="1:12" s="3" customFormat="1" ht="18.75" x14ac:dyDescent="0.3">
      <c r="A1" s="1"/>
      <c r="B1" s="2" t="s">
        <v>0</v>
      </c>
      <c r="L1" s="4" t="s">
        <v>1</v>
      </c>
    </row>
    <row r="2" spans="1:12" s="3" customFormat="1" ht="12.75" x14ac:dyDescent="0.2">
      <c r="A2" s="5"/>
      <c r="B2" s="6"/>
      <c r="C2" s="7"/>
      <c r="D2" s="7"/>
      <c r="E2" s="7"/>
      <c r="F2" s="7"/>
      <c r="H2" s="7"/>
      <c r="I2" s="7"/>
    </row>
    <row r="3" spans="1:12" s="10" customFormat="1" ht="20.25" x14ac:dyDescent="0.3">
      <c r="A3" s="8"/>
      <c r="B3" s="6"/>
      <c r="C3" s="9"/>
    </row>
    <row r="5" spans="1:12" x14ac:dyDescent="0.25">
      <c r="B5" s="11"/>
      <c r="C5" s="11" t="s">
        <v>2</v>
      </c>
      <c r="D5" s="12">
        <v>5.55</v>
      </c>
    </row>
    <row r="6" spans="1:12" x14ac:dyDescent="0.25">
      <c r="B6" s="11"/>
      <c r="C6" s="11"/>
    </row>
    <row r="7" spans="1:12" x14ac:dyDescent="0.25">
      <c r="B7" s="14"/>
      <c r="C7" s="14"/>
      <c r="D7" s="14"/>
      <c r="E7" s="14"/>
      <c r="F7" s="14"/>
      <c r="G7" s="14"/>
      <c r="H7" s="14"/>
      <c r="I7" s="14"/>
    </row>
    <row r="8" spans="1:12" x14ac:dyDescent="0.25">
      <c r="B8" s="15" t="s">
        <v>3</v>
      </c>
      <c r="C8" s="15" t="s">
        <v>4</v>
      </c>
      <c r="D8" s="16">
        <v>2022</v>
      </c>
      <c r="E8" s="16">
        <v>2023</v>
      </c>
      <c r="F8" s="16">
        <v>2024</v>
      </c>
      <c r="G8" s="16">
        <v>2025</v>
      </c>
      <c r="H8" s="16">
        <v>2026</v>
      </c>
      <c r="I8" s="16">
        <v>2027</v>
      </c>
      <c r="L8" s="13" t="s">
        <v>5</v>
      </c>
    </row>
    <row r="9" spans="1:12" x14ac:dyDescent="0.25">
      <c r="B9" s="17">
        <v>10016</v>
      </c>
      <c r="C9" s="18" t="s">
        <v>6</v>
      </c>
      <c r="D9" s="19">
        <v>62.93</v>
      </c>
      <c r="E9" s="19">
        <v>62.93</v>
      </c>
      <c r="F9" s="19">
        <v>64.319999999999993</v>
      </c>
      <c r="G9" s="19">
        <v>64.319999999999993</v>
      </c>
      <c r="H9" s="19">
        <v>65.67</v>
      </c>
      <c r="I9" s="19">
        <v>65.67</v>
      </c>
    </row>
    <row r="10" spans="1:12" x14ac:dyDescent="0.25">
      <c r="B10" s="17">
        <v>10205</v>
      </c>
      <c r="C10" s="18" t="s">
        <v>7</v>
      </c>
      <c r="D10" s="19">
        <v>58.17</v>
      </c>
      <c r="E10" s="19">
        <v>58.17</v>
      </c>
      <c r="F10" s="19">
        <v>58.4</v>
      </c>
      <c r="G10" s="19">
        <v>58.4</v>
      </c>
      <c r="H10" s="19">
        <v>59.21</v>
      </c>
      <c r="I10" s="19">
        <v>59.21</v>
      </c>
    </row>
    <row r="11" spans="1:12" x14ac:dyDescent="0.25">
      <c r="B11" s="17">
        <v>10262</v>
      </c>
      <c r="C11" s="18" t="s">
        <v>8</v>
      </c>
      <c r="D11" s="19">
        <v>68.34</v>
      </c>
      <c r="E11" s="19">
        <v>68.34</v>
      </c>
      <c r="F11" s="19">
        <v>69.47</v>
      </c>
      <c r="G11" s="19">
        <v>69.47</v>
      </c>
      <c r="H11" s="19">
        <v>69.62</v>
      </c>
      <c r="I11" s="19">
        <v>69.62</v>
      </c>
    </row>
    <row r="12" spans="1:12" x14ac:dyDescent="0.25">
      <c r="B12" s="17">
        <v>10300</v>
      </c>
      <c r="C12" s="18" t="s">
        <v>9</v>
      </c>
      <c r="D12" s="19">
        <v>77.61</v>
      </c>
      <c r="E12" s="19">
        <v>77.61</v>
      </c>
      <c r="F12" s="19">
        <v>78.34</v>
      </c>
      <c r="G12" s="19">
        <v>78.34</v>
      </c>
      <c r="H12" s="19">
        <v>79.010000000000005</v>
      </c>
      <c r="I12" s="19">
        <v>79.010000000000005</v>
      </c>
    </row>
    <row r="13" spans="1:12" x14ac:dyDescent="0.25">
      <c r="B13" s="20">
        <v>10314</v>
      </c>
      <c r="C13" s="21" t="s">
        <v>10</v>
      </c>
      <c r="D13" s="19">
        <v>70.09</v>
      </c>
      <c r="E13" s="19">
        <v>70.09</v>
      </c>
      <c r="F13" s="19">
        <v>87.52</v>
      </c>
      <c r="G13" s="19">
        <v>87.52</v>
      </c>
      <c r="H13" s="19">
        <v>94.94</v>
      </c>
      <c r="I13" s="19">
        <v>94.94</v>
      </c>
    </row>
    <row r="14" spans="1:12" x14ac:dyDescent="0.25">
      <c r="B14" s="17">
        <v>10325</v>
      </c>
      <c r="C14" s="18" t="s">
        <v>11</v>
      </c>
      <c r="D14" s="19">
        <v>67.28</v>
      </c>
      <c r="E14" s="19">
        <v>67.28</v>
      </c>
      <c r="F14" s="19">
        <v>69.319999999999993</v>
      </c>
      <c r="G14" s="19">
        <v>69.319999999999993</v>
      </c>
      <c r="H14" s="19">
        <v>74.05</v>
      </c>
      <c r="I14" s="19">
        <v>74.05</v>
      </c>
    </row>
    <row r="15" spans="1:12" x14ac:dyDescent="0.25">
      <c r="B15" s="17">
        <v>10103</v>
      </c>
      <c r="C15" s="18" t="s">
        <v>12</v>
      </c>
      <c r="D15" s="19">
        <v>42.14</v>
      </c>
      <c r="E15" s="19">
        <v>42.14</v>
      </c>
      <c r="F15" s="19">
        <v>43.34</v>
      </c>
      <c r="G15" s="19">
        <v>43.34</v>
      </c>
      <c r="H15" s="19">
        <v>45.07</v>
      </c>
      <c r="I15" s="19">
        <v>45.07</v>
      </c>
    </row>
    <row r="16" spans="1:12" x14ac:dyDescent="0.25">
      <c r="B16" s="22">
        <v>10183</v>
      </c>
      <c r="C16" s="23" t="s">
        <v>13</v>
      </c>
      <c r="D16" s="19"/>
      <c r="E16" s="19"/>
      <c r="F16" s="19"/>
      <c r="G16" s="19"/>
      <c r="H16" s="19"/>
      <c r="I16" s="19"/>
    </row>
    <row r="17" spans="2:9" x14ac:dyDescent="0.25">
      <c r="B17" s="17">
        <v>10354</v>
      </c>
      <c r="C17" s="18" t="s">
        <v>14</v>
      </c>
      <c r="D17" s="19">
        <v>55.83</v>
      </c>
      <c r="E17" s="19">
        <v>55.83</v>
      </c>
      <c r="F17" s="19">
        <v>57.58</v>
      </c>
      <c r="G17" s="19">
        <v>57.58</v>
      </c>
      <c r="H17" s="19">
        <v>59.89</v>
      </c>
      <c r="I17" s="19">
        <v>59.89</v>
      </c>
    </row>
    <row r="18" spans="2:9" x14ac:dyDescent="0.25">
      <c r="D18" s="24"/>
      <c r="E18" s="24"/>
      <c r="F18" s="24"/>
      <c r="G18" s="24"/>
      <c r="H18" s="24"/>
      <c r="I18" s="24"/>
    </row>
    <row r="19" spans="2:9" x14ac:dyDescent="0.25">
      <c r="D19" s="25"/>
      <c r="E19" s="25"/>
      <c r="F19" s="25"/>
      <c r="G19" s="25"/>
      <c r="H19" s="25"/>
      <c r="I19" s="25"/>
    </row>
    <row r="20" spans="2:9" x14ac:dyDescent="0.25">
      <c r="D20" s="25"/>
      <c r="E20" s="25"/>
      <c r="F20" s="25"/>
      <c r="G20" s="25"/>
      <c r="H20" s="25"/>
      <c r="I20" s="25"/>
    </row>
    <row r="21" spans="2:9" x14ac:dyDescent="0.25">
      <c r="D21" s="25"/>
      <c r="E21" s="25"/>
      <c r="F21" s="25"/>
      <c r="G21" s="25"/>
      <c r="H21" s="25"/>
      <c r="I21" s="25"/>
    </row>
    <row r="22" spans="2:9" x14ac:dyDescent="0.25">
      <c r="D22" s="25"/>
      <c r="E22" s="25"/>
      <c r="F22" s="25"/>
      <c r="G22" s="25"/>
      <c r="H22" s="25"/>
      <c r="I22" s="25"/>
    </row>
    <row r="23" spans="2:9" x14ac:dyDescent="0.25">
      <c r="D23" s="25"/>
      <c r="E23" s="25"/>
      <c r="F23" s="25"/>
      <c r="G23" s="25"/>
      <c r="H23" s="25"/>
      <c r="I23" s="25"/>
    </row>
    <row r="24" spans="2:9" x14ac:dyDescent="0.25">
      <c r="D24" s="25"/>
      <c r="E24" s="25"/>
      <c r="F24" s="25"/>
      <c r="G24" s="25"/>
      <c r="H24" s="25"/>
      <c r="I24" s="25"/>
    </row>
    <row r="25" spans="2:9" x14ac:dyDescent="0.25">
      <c r="D25" s="25"/>
      <c r="E25" s="25"/>
      <c r="F25" s="25"/>
      <c r="G25" s="25"/>
      <c r="H25" s="25"/>
      <c r="I25" s="25"/>
    </row>
    <row r="26" spans="2:9" x14ac:dyDescent="0.25">
      <c r="D26" s="25"/>
      <c r="E26" s="25"/>
      <c r="F26" s="25"/>
      <c r="G26" s="25"/>
      <c r="H26" s="25"/>
      <c r="I26" s="25"/>
    </row>
    <row r="27" spans="2:9" x14ac:dyDescent="0.25">
      <c r="E27" s="25"/>
      <c r="F27" s="25"/>
      <c r="G27" s="25"/>
      <c r="H27" s="25"/>
      <c r="I27" s="25"/>
    </row>
    <row r="28" spans="2:9" x14ac:dyDescent="0.25">
      <c r="D28" s="25"/>
      <c r="E28" s="25"/>
      <c r="F28" s="25"/>
      <c r="G28" s="25"/>
      <c r="H28" s="25"/>
      <c r="I28" s="25"/>
    </row>
    <row r="29" spans="2:9" x14ac:dyDescent="0.25">
      <c r="B29" s="14"/>
      <c r="C29" s="14"/>
      <c r="D29" s="14"/>
      <c r="E29" s="14"/>
      <c r="F29" s="14"/>
      <c r="G29" s="14"/>
      <c r="H29" s="14"/>
      <c r="I29" s="14"/>
    </row>
    <row r="30" spans="2:9" x14ac:dyDescent="0.25">
      <c r="B30" s="11"/>
      <c r="C30" s="15" t="s">
        <v>15</v>
      </c>
      <c r="D30" s="26">
        <v>2022</v>
      </c>
      <c r="E30" s="26">
        <v>2023</v>
      </c>
      <c r="F30" s="26">
        <v>2024</v>
      </c>
      <c r="G30" s="26">
        <v>2025</v>
      </c>
      <c r="H30" s="26">
        <v>2026</v>
      </c>
      <c r="I30" s="26">
        <v>2027</v>
      </c>
    </row>
    <row r="31" spans="2:9" x14ac:dyDescent="0.25">
      <c r="B31" s="17">
        <v>10016</v>
      </c>
      <c r="C31" s="18" t="s">
        <v>6</v>
      </c>
      <c r="D31" s="27">
        <v>453.363</v>
      </c>
      <c r="E31" s="27">
        <v>453.363</v>
      </c>
      <c r="F31" s="27">
        <v>457.77240270000004</v>
      </c>
      <c r="G31" s="27">
        <v>459.02701710000008</v>
      </c>
      <c r="H31" s="27">
        <v>460.1985964343101</v>
      </c>
      <c r="I31" s="27">
        <v>461.4598602906301</v>
      </c>
    </row>
    <row r="32" spans="2:9" x14ac:dyDescent="0.25">
      <c r="B32" s="17">
        <v>10205</v>
      </c>
      <c r="C32" s="18" t="s">
        <v>7</v>
      </c>
      <c r="D32" s="27">
        <v>782.77099999999996</v>
      </c>
      <c r="E32" s="27">
        <v>782.77099999999996</v>
      </c>
      <c r="F32" s="27">
        <v>780.96262400000001</v>
      </c>
      <c r="G32" s="27">
        <v>783.10173500000008</v>
      </c>
      <c r="H32" s="27">
        <v>789.86559791360003</v>
      </c>
      <c r="I32" s="27">
        <v>792.02909477900016</v>
      </c>
    </row>
    <row r="33" spans="2:9" x14ac:dyDescent="0.25">
      <c r="B33" s="17">
        <v>10262</v>
      </c>
      <c r="C33" s="18" t="s">
        <v>8</v>
      </c>
      <c r="D33" s="27">
        <v>81.521000000000001</v>
      </c>
      <c r="E33" s="27">
        <v>81.521000000000001</v>
      </c>
      <c r="F33" s="27">
        <v>81.360720000000001</v>
      </c>
      <c r="G33" s="27">
        <v>81.583488000000003</v>
      </c>
      <c r="H33" s="27">
        <v>82.011605759999995</v>
      </c>
      <c r="I33" s="27">
        <v>82.236155904</v>
      </c>
    </row>
    <row r="34" spans="2:9" x14ac:dyDescent="0.25">
      <c r="B34" s="17">
        <v>10300</v>
      </c>
      <c r="C34" s="18" t="s">
        <v>9</v>
      </c>
      <c r="D34" s="27">
        <v>1044.1959999999999</v>
      </c>
      <c r="E34" s="27">
        <v>1044.1959999999999</v>
      </c>
      <c r="F34" s="27">
        <v>1058.684</v>
      </c>
      <c r="G34" s="27">
        <v>1061.5840000000001</v>
      </c>
      <c r="H34" s="27">
        <v>1058.684</v>
      </c>
      <c r="I34" s="27">
        <v>1061.5840000000001</v>
      </c>
    </row>
    <row r="35" spans="2:9" x14ac:dyDescent="0.25">
      <c r="B35" s="17">
        <v>10314</v>
      </c>
      <c r="C35" s="18" t="s">
        <v>10</v>
      </c>
      <c r="D35" s="29">
        <v>960.36400000000003</v>
      </c>
      <c r="E35" s="29">
        <v>960.36400000000003</v>
      </c>
      <c r="F35" s="27">
        <v>1260.4515904</v>
      </c>
      <c r="G35" s="27">
        <v>1263.9045487999999</v>
      </c>
      <c r="H35" s="27">
        <v>1268.51848057856</v>
      </c>
      <c r="I35" s="27">
        <v>1271.9935379123199</v>
      </c>
    </row>
    <row r="36" spans="2:9" x14ac:dyDescent="0.25">
      <c r="B36" s="17">
        <v>10325</v>
      </c>
      <c r="C36" s="18" t="s">
        <v>11</v>
      </c>
      <c r="D36" s="27">
        <v>1364.434</v>
      </c>
      <c r="E36" s="27">
        <v>1364.434</v>
      </c>
      <c r="F36" s="27">
        <v>1375.2297708000001</v>
      </c>
      <c r="G36" s="27">
        <v>1378.9969272000001</v>
      </c>
      <c r="H36" s="27">
        <v>1385.9565630122402</v>
      </c>
      <c r="I36" s="27">
        <v>1389.7531032321601</v>
      </c>
    </row>
    <row r="37" spans="2:9" x14ac:dyDescent="0.25">
      <c r="B37" s="17">
        <v>10103</v>
      </c>
      <c r="C37" s="18" t="s">
        <v>12</v>
      </c>
      <c r="D37" s="27">
        <v>289.37599999999998</v>
      </c>
      <c r="E37" s="27">
        <v>289.39699999999999</v>
      </c>
      <c r="F37" s="27">
        <v>296.99004205391793</v>
      </c>
      <c r="G37" s="27">
        <v>296.99004205391793</v>
      </c>
      <c r="H37" s="27">
        <v>296.99004205391793</v>
      </c>
      <c r="I37" s="27">
        <v>296.99004205391793</v>
      </c>
    </row>
    <row r="38" spans="2:9" x14ac:dyDescent="0.25">
      <c r="B38" s="22">
        <v>10183</v>
      </c>
      <c r="C38" s="23" t="s">
        <v>13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2:9" x14ac:dyDescent="0.25">
      <c r="B39" s="17">
        <v>10354</v>
      </c>
      <c r="C39" s="18" t="s">
        <v>14</v>
      </c>
      <c r="D39" s="27">
        <v>424.03751258989303</v>
      </c>
      <c r="E39" s="27">
        <v>425.86399999999998</v>
      </c>
      <c r="F39" s="27">
        <v>401.96518743683629</v>
      </c>
      <c r="G39" s="27">
        <v>401.96518743683629</v>
      </c>
      <c r="H39" s="27">
        <v>401.96518743683629</v>
      </c>
      <c r="I39" s="27">
        <v>401.96518743683629</v>
      </c>
    </row>
    <row r="40" spans="2:9" x14ac:dyDescent="0.25">
      <c r="D40" s="28"/>
      <c r="E40" s="28"/>
      <c r="F40" s="28"/>
      <c r="G40" s="28"/>
      <c r="H40" s="28"/>
      <c r="I40" s="28"/>
    </row>
    <row r="41" spans="2:9" x14ac:dyDescent="0.25">
      <c r="D41" s="28"/>
      <c r="E41" s="28"/>
      <c r="F41" s="28"/>
      <c r="G41" s="28"/>
      <c r="H41" s="28"/>
      <c r="I41" s="28"/>
    </row>
    <row r="42" spans="2:9" x14ac:dyDescent="0.25">
      <c r="D42" s="28"/>
      <c r="E42" s="28"/>
      <c r="F42" s="28"/>
      <c r="G42" s="28"/>
      <c r="H42" s="28"/>
      <c r="I42" s="28"/>
    </row>
    <row r="43" spans="2:9" x14ac:dyDescent="0.25">
      <c r="D43" s="28"/>
      <c r="E43" s="28"/>
      <c r="F43" s="28"/>
      <c r="G43" s="28"/>
      <c r="H43" s="28"/>
      <c r="I43" s="28"/>
    </row>
    <row r="44" spans="2:9" x14ac:dyDescent="0.25">
      <c r="D44" s="28"/>
      <c r="E44" s="28"/>
      <c r="F44" s="28"/>
      <c r="G44" s="28"/>
      <c r="H44" s="28"/>
      <c r="I44" s="28"/>
    </row>
    <row r="45" spans="2:9" x14ac:dyDescent="0.25">
      <c r="D45" s="28"/>
      <c r="E45" s="28"/>
      <c r="F45" s="28"/>
      <c r="G45" s="28"/>
      <c r="H45" s="28"/>
      <c r="I45" s="28"/>
    </row>
    <row r="46" spans="2:9" x14ac:dyDescent="0.25">
      <c r="D46" s="28"/>
      <c r="E46" s="28"/>
      <c r="F46" s="28"/>
      <c r="G46" s="28"/>
      <c r="H46" s="28"/>
      <c r="I46" s="28"/>
    </row>
    <row r="47" spans="2:9" x14ac:dyDescent="0.25">
      <c r="D47" s="28"/>
      <c r="E47" s="28"/>
      <c r="F47" s="28"/>
      <c r="G47" s="28"/>
      <c r="H47" s="28"/>
      <c r="I47" s="28"/>
    </row>
    <row r="48" spans="2:9" x14ac:dyDescent="0.25">
      <c r="D48" s="28"/>
      <c r="E48" s="28"/>
      <c r="F48" s="28"/>
      <c r="G48" s="28"/>
      <c r="H48" s="28"/>
      <c r="I48" s="28"/>
    </row>
    <row r="49" spans="4:9" x14ac:dyDescent="0.25">
      <c r="D49" s="28"/>
      <c r="E49" s="28"/>
      <c r="F49" s="28"/>
      <c r="G49" s="28"/>
      <c r="H49" s="28"/>
      <c r="I49" s="28"/>
    </row>
    <row r="50" spans="4:9" x14ac:dyDescent="0.25">
      <c r="D50" s="28"/>
      <c r="E50" s="28"/>
      <c r="F50" s="28"/>
      <c r="G50" s="28"/>
      <c r="H50" s="28"/>
      <c r="I50" s="28"/>
    </row>
  </sheetData>
  <conditionalFormatting sqref="B3">
    <cfRule type="expression" dxfId="1" priority="2" stopIfTrue="1">
      <formula>A2 &gt; 30</formula>
    </cfRule>
  </conditionalFormatting>
  <conditionalFormatting sqref="B2">
    <cfRule type="expression" dxfId="0" priority="1" stopIfTrue="1">
      <formula>A1 &gt; 30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E17D87B0A0545AE9B4C7D0EF2487C" ma:contentTypeVersion="0" ma:contentTypeDescription="Create a new document." ma:contentTypeScope="" ma:versionID="ca2a47ddfabaaf22a27f940a921c65c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50C69-5C82-4412-8276-C881345DA32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3A41D7-6B06-406E-99FE-BFB9F3309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3C49F-664C-419D-8C6E-8CBB08858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Utility Specific PFx Settle</vt:lpstr>
      <vt:lpstr>Base Exchange Cost</vt:lpstr>
      <vt:lpstr>ExchangeSummary</vt:lpstr>
      <vt:lpstr>ExchangeInputs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RAM2022_Errata_Excerpt</dc:title>
  <dc:creator>Adams,Stephanie A (BPA) - PSR-6</dc:creator>
  <cp:lastModifiedBy>Adams,Stephanie A (BPA) - PSR-6</cp:lastModifiedBy>
  <dcterms:created xsi:type="dcterms:W3CDTF">2021-08-25T17:44:05Z</dcterms:created>
  <dcterms:modified xsi:type="dcterms:W3CDTF">2021-08-25T17:58:43Z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0x0101006A2E17D87B0A0545AE9B4C7D0EF2487C</vt:lpwstr>
  </property>
</Properties>
</file>