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worksheets/sheet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20.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2.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6.xml" ContentType="application/vnd.openxmlformats-officedocument.spreadsheetml.comment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Revenue Requirements\Rate Case\BP-22\Final Proposal\Transmission\Sharepoint Model Upload\"/>
    </mc:Choice>
  </mc:AlternateContent>
  <bookViews>
    <workbookView xWindow="-15" yWindow="0" windowWidth="2175" windowHeight="0" tabRatio="905" firstSheet="3" activeTab="4"/>
  </bookViews>
  <sheets>
    <sheet name="Long-Term Debt Mng RR" sheetId="2" state="hidden" r:id="rId1"/>
    <sheet name="Crosswalk" sheetId="3" state="hidden" r:id="rId2"/>
    <sheet name="Rates Crosswalk" sheetId="5" state="hidden" r:id="rId3"/>
    <sheet name="Revenue Requirement" sheetId="6" r:id="rId4"/>
    <sheet name="AFUDC" sheetId="11" r:id="rId5"/>
    <sheet name="Leverage" sheetId="42" r:id="rId6"/>
    <sheet name="Capital Input File" sheetId="9" r:id="rId7"/>
    <sheet name="Repayment Inputs" sheetId="10" r:id="rId8"/>
    <sheet name="Interest Income" sheetId="12" r:id="rId9"/>
    <sheet name="18 Seg Dev" sheetId="37" state="hidden" r:id="rId10"/>
    <sheet name="20 Seg Dev" sheetId="38" state="hidden" r:id="rId11"/>
    <sheet name="21 Seg Dev" sheetId="17" state="hidden" r:id="rId12"/>
    <sheet name="Expense Input File" sheetId="8" r:id="rId13"/>
    <sheet name="Segmented Rev Req" sheetId="43" r:id="rId14"/>
    <sheet name="Ancillary Services" sheetId="44" r:id="rId15"/>
    <sheet name="22 Seg Dev" sheetId="18" r:id="rId16"/>
    <sheet name="23 Seg Dev" sheetId="19" r:id="rId17"/>
    <sheet name="33 Seg Dev" sheetId="29" state="hidden" r:id="rId18"/>
    <sheet name="34 Seg Dev" sheetId="34" state="hidden" r:id="rId19"/>
    <sheet name="Graphs" sheetId="4" state="hidden" r:id="rId20"/>
  </sheets>
  <externalReferences>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Print_Area" localSheetId="1">Crosswalk!$A$1:$V$29,Crosswalk!$A$32:$T$66</definedName>
    <definedName name="_xlnm.Print_Area" localSheetId="12">'Expense Input File'!$A$1:$Q$81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Z_2226E858_00AE_4A92_8CF6_5B54D2FA62D4_.wvu.PrintArea" localSheetId="1" hidden="1">Crosswalk!$A$1:$V$29,Crosswalk!$A$32:$T$66</definedName>
    <definedName name="Z_2226E858_00AE_4A92_8CF6_5B54D2FA62D4_.wvu.PrintArea" localSheetId="12" hidden="1">'Expense Input File'!$A$1:$Q$81</definedName>
    <definedName name="Z_2226E858_00AE_4A92_8CF6_5B54D2FA62D4_.wvu.Rows" localSheetId="1" hidden="1">Crosswalk!$22:$24</definedName>
  </definedNames>
  <calcPr calcId="162913"/>
  <customWorkbookViews>
    <customWorkbookView name="BPA User - Personal View" guid="{2226E858-00AE-4A92-8CF6-5B54D2FA62D4}" mergeInterval="0" personalView="1" xWindow="9" yWindow="348" windowWidth="1422" windowHeight="278" tabRatio="644" activeSheetId="8"/>
  </customWorkbookViews>
</workbook>
</file>

<file path=xl/calcChain.xml><?xml version="1.0" encoding="utf-8"?>
<calcChain xmlns="http://schemas.openxmlformats.org/spreadsheetml/2006/main">
  <c r="D32" i="34" l="1"/>
  <c r="D32" i="29"/>
  <c r="D32" i="17"/>
  <c r="D32" i="38"/>
  <c r="D32" i="37"/>
  <c r="J30" i="34"/>
  <c r="I30" i="34"/>
  <c r="H30" i="34"/>
  <c r="G30" i="34"/>
  <c r="F30" i="34"/>
  <c r="E30" i="34"/>
  <c r="J30" i="29"/>
  <c r="I30" i="29"/>
  <c r="H30" i="29"/>
  <c r="G30" i="29"/>
  <c r="F30" i="29"/>
  <c r="E30" i="29"/>
  <c r="J30" i="17"/>
  <c r="I30" i="17"/>
  <c r="H30" i="17"/>
  <c r="G30" i="17"/>
  <c r="F30" i="17"/>
  <c r="E30" i="17"/>
  <c r="J30" i="38"/>
  <c r="I30" i="38"/>
  <c r="H30" i="38"/>
  <c r="G30" i="38"/>
  <c r="F30" i="38"/>
  <c r="E30" i="38"/>
  <c r="J30" i="37"/>
  <c r="I30" i="37"/>
  <c r="H30" i="37"/>
  <c r="G30" i="37"/>
  <c r="F30" i="37"/>
  <c r="E30" i="37"/>
  <c r="F25" i="34"/>
  <c r="F25" i="29"/>
  <c r="F25" i="17"/>
  <c r="F25" i="38"/>
  <c r="F25" i="37"/>
  <c r="K14" i="34"/>
  <c r="J14" i="34"/>
  <c r="I14" i="34"/>
  <c r="H14" i="34"/>
  <c r="G14" i="34"/>
  <c r="F14" i="34"/>
  <c r="E14" i="34"/>
  <c r="K14" i="29"/>
  <c r="J14" i="29"/>
  <c r="I14" i="29"/>
  <c r="H14" i="29"/>
  <c r="G14" i="29"/>
  <c r="F14" i="29"/>
  <c r="E14" i="29"/>
  <c r="K14" i="17"/>
  <c r="J14" i="17"/>
  <c r="I14" i="17"/>
  <c r="H14" i="17"/>
  <c r="G14" i="17"/>
  <c r="F14" i="17"/>
  <c r="E14" i="17"/>
  <c r="K14" i="38"/>
  <c r="J14" i="38"/>
  <c r="I14" i="38"/>
  <c r="H14" i="38"/>
  <c r="G14" i="38"/>
  <c r="F14" i="38"/>
  <c r="E14" i="38"/>
  <c r="K14" i="37"/>
  <c r="J14" i="37"/>
  <c r="I14" i="37"/>
  <c r="H14" i="37"/>
  <c r="G14" i="37"/>
  <c r="F14" i="37"/>
  <c r="E14" i="37"/>
  <c r="K30" i="34"/>
  <c r="K30" i="29"/>
  <c r="K30" i="17"/>
  <c r="K30" i="38"/>
  <c r="K30" i="37"/>
  <c r="I59" i="37" l="1"/>
  <c r="F59" i="37"/>
  <c r="J38" i="34" l="1"/>
  <c r="I38" i="34"/>
  <c r="H38" i="34"/>
  <c r="G38" i="34"/>
  <c r="F38" i="34"/>
  <c r="E38" i="34"/>
  <c r="J37" i="34"/>
  <c r="I37" i="34"/>
  <c r="H37" i="34"/>
  <c r="G37" i="34"/>
  <c r="F37" i="34"/>
  <c r="E37" i="34"/>
  <c r="J38" i="29"/>
  <c r="I38" i="29"/>
  <c r="H38" i="29"/>
  <c r="G38" i="29"/>
  <c r="F38" i="29"/>
  <c r="E38" i="29"/>
  <c r="J37" i="29"/>
  <c r="I37" i="29"/>
  <c r="H37" i="29"/>
  <c r="G37" i="29"/>
  <c r="F37" i="29"/>
  <c r="E37" i="29"/>
  <c r="J38" i="17"/>
  <c r="I38" i="17"/>
  <c r="H38" i="17"/>
  <c r="G38" i="17"/>
  <c r="F38" i="17"/>
  <c r="E38" i="17"/>
  <c r="J37" i="17"/>
  <c r="I37" i="17"/>
  <c r="H37" i="17"/>
  <c r="G37" i="17"/>
  <c r="F37" i="17"/>
  <c r="E37" i="17"/>
  <c r="J38" i="38"/>
  <c r="I38" i="38"/>
  <c r="H38" i="38"/>
  <c r="G38" i="38"/>
  <c r="F38" i="38"/>
  <c r="E38" i="38"/>
  <c r="J37" i="38"/>
  <c r="I37" i="38"/>
  <c r="H37" i="38"/>
  <c r="G37" i="38"/>
  <c r="F37" i="38"/>
  <c r="E37" i="38"/>
  <c r="J38" i="37"/>
  <c r="I38" i="37"/>
  <c r="H38" i="37"/>
  <c r="G38" i="37"/>
  <c r="F38" i="37"/>
  <c r="E38" i="37"/>
  <c r="J37" i="37"/>
  <c r="I37" i="37"/>
  <c r="H37" i="37"/>
  <c r="G37" i="37"/>
  <c r="F37" i="37"/>
  <c r="E37" i="37"/>
  <c r="F7" i="34" l="1"/>
  <c r="F6" i="34"/>
  <c r="F5" i="34"/>
  <c r="F4" i="34"/>
  <c r="F7" i="29"/>
  <c r="F6" i="29"/>
  <c r="F5" i="29"/>
  <c r="F4" i="29"/>
  <c r="F7" i="17"/>
  <c r="F6" i="17"/>
  <c r="F5" i="17"/>
  <c r="F4" i="17"/>
  <c r="D38" i="38" l="1"/>
  <c r="D37" i="38"/>
  <c r="D39" i="38" l="1"/>
  <c r="A12" i="38"/>
  <c r="D51" i="38" l="1"/>
  <c r="A12" i="17" l="1"/>
  <c r="A12" i="34" l="1"/>
  <c r="D37" i="34" l="1"/>
  <c r="D38" i="34"/>
  <c r="D39" i="34" l="1"/>
  <c r="D48" i="37" l="1"/>
  <c r="G19" i="37"/>
  <c r="G24" i="37" s="1"/>
  <c r="A12" i="37"/>
  <c r="D38" i="37" l="1"/>
  <c r="H63" i="37" s="1"/>
  <c r="H65" i="37" s="1"/>
  <c r="F68" i="37"/>
  <c r="G60" i="37"/>
  <c r="K70" i="37"/>
  <c r="F61" i="37"/>
  <c r="D37" i="37"/>
  <c r="G26" i="37"/>
  <c r="K49" i="37"/>
  <c r="G62" i="37" l="1"/>
  <c r="F62" i="37"/>
  <c r="D39" i="37"/>
  <c r="E63" i="37"/>
  <c r="E65" i="37" s="1"/>
  <c r="F63" i="37"/>
  <c r="I63" i="37"/>
  <c r="D64" i="37"/>
  <c r="D65" i="37" s="1"/>
  <c r="K65" i="37"/>
  <c r="J63" i="37"/>
  <c r="J65" i="37" s="1"/>
  <c r="G63" i="37"/>
  <c r="D55" i="37"/>
  <c r="D17" i="37"/>
  <c r="D44" i="37"/>
  <c r="G65" i="37" l="1"/>
  <c r="I65" i="37"/>
  <c r="F65" i="37"/>
  <c r="D46" i="37"/>
  <c r="D45" i="37" s="1"/>
  <c r="F45" i="37" l="1"/>
  <c r="G45" i="37"/>
  <c r="E45" i="37"/>
  <c r="I45" i="37"/>
  <c r="H45" i="37"/>
  <c r="J45" i="37"/>
  <c r="F46" i="37"/>
  <c r="H46" i="37"/>
  <c r="J46" i="37"/>
  <c r="E46" i="37"/>
  <c r="I46" i="37"/>
  <c r="G46" i="37"/>
  <c r="I47" i="37" l="1"/>
  <c r="I49" i="37" s="1"/>
  <c r="J47" i="37"/>
  <c r="J49" i="37" s="1"/>
  <c r="E47" i="37"/>
  <c r="G47" i="37"/>
  <c r="G49" i="37" s="1"/>
  <c r="H47" i="37"/>
  <c r="H49" i="37" s="1"/>
  <c r="F47" i="37"/>
  <c r="F49" i="37" s="1"/>
  <c r="D47" i="37" l="1"/>
  <c r="E49" i="37"/>
  <c r="D49" i="37" l="1"/>
  <c r="E69" i="37" s="1"/>
  <c r="K54" i="37" l="1"/>
  <c r="K31" i="37"/>
  <c r="K51" i="37"/>
  <c r="K69" i="37"/>
  <c r="K52" i="37"/>
  <c r="D56" i="37"/>
  <c r="I69" i="37"/>
  <c r="J31" i="37"/>
  <c r="I31" i="37"/>
  <c r="J69" i="37"/>
  <c r="J52" i="37"/>
  <c r="I52" i="37"/>
  <c r="I54" i="37"/>
  <c r="I51" i="37"/>
  <c r="J51" i="37"/>
  <c r="J54" i="37"/>
  <c r="F69" i="37"/>
  <c r="F31" i="37"/>
  <c r="H52" i="37"/>
  <c r="G69" i="37"/>
  <c r="G31" i="37"/>
  <c r="F54" i="37"/>
  <c r="F52" i="37"/>
  <c r="H69" i="37"/>
  <c r="G54" i="37"/>
  <c r="G51" i="37"/>
  <c r="F51" i="37"/>
  <c r="H54" i="37"/>
  <c r="H31" i="37"/>
  <c r="G52" i="37"/>
  <c r="H51" i="37"/>
  <c r="E51" i="37"/>
  <c r="E54" i="37"/>
  <c r="E31" i="37"/>
  <c r="E52" i="37"/>
  <c r="E55" i="37" l="1"/>
  <c r="E56" i="37" s="1"/>
  <c r="D31" i="37"/>
  <c r="F55" i="37"/>
  <c r="F56" i="37" s="1"/>
  <c r="H55" i="37"/>
  <c r="H56" i="37" s="1"/>
  <c r="G55" i="37"/>
  <c r="G56" i="37" s="1"/>
  <c r="J55" i="37"/>
  <c r="J56" i="37" s="1"/>
  <c r="I55" i="37"/>
  <c r="I56" i="37" s="1"/>
  <c r="K55" i="37"/>
  <c r="K56" i="37" s="1"/>
  <c r="D18" i="37" l="1"/>
  <c r="F19" i="37"/>
  <c r="F24" i="37" l="1"/>
  <c r="D19" i="37"/>
  <c r="C3" i="17" l="1"/>
  <c r="B18" i="5" l="1"/>
  <c r="N18" i="5"/>
  <c r="O20" i="5"/>
  <c r="T25" i="5" l="1"/>
  <c r="G38" i="4" l="1"/>
  <c r="F38" i="4"/>
  <c r="E38" i="4"/>
  <c r="D38" i="4"/>
  <c r="C38" i="4"/>
  <c r="B38" i="4"/>
  <c r="B23" i="4"/>
  <c r="B28" i="4" s="1"/>
  <c r="B44" i="4" s="1"/>
  <c r="B50" i="4" s="1"/>
  <c r="B57" i="4" s="1"/>
  <c r="B63" i="4" s="1"/>
  <c r="C17" i="4"/>
  <c r="C23" i="4" s="1"/>
  <c r="C28" i="4" s="1"/>
  <c r="C44" i="4" s="1"/>
  <c r="C50" i="4" s="1"/>
  <c r="C57" i="4" s="1"/>
  <c r="C63" i="4" s="1"/>
  <c r="B17" i="4"/>
  <c r="C7" i="4"/>
  <c r="D7" i="4" s="1"/>
  <c r="E7" i="4" l="1"/>
  <c r="D17" i="4"/>
  <c r="D23" i="4" s="1"/>
  <c r="D28" i="4" s="1"/>
  <c r="D44" i="4" s="1"/>
  <c r="D50" i="4" s="1"/>
  <c r="D57" i="4" s="1"/>
  <c r="D63" i="4" s="1"/>
  <c r="F7" i="4" l="1"/>
  <c r="E17" i="4"/>
  <c r="E23" i="4" s="1"/>
  <c r="E28" i="4" s="1"/>
  <c r="E44" i="4" s="1"/>
  <c r="E50" i="4" s="1"/>
  <c r="E57" i="4" s="1"/>
  <c r="E63" i="4" s="1"/>
  <c r="G7" i="4" l="1"/>
  <c r="F17" i="4"/>
  <c r="F23" i="4" s="1"/>
  <c r="F28" i="4" s="1"/>
  <c r="F44" i="4" s="1"/>
  <c r="F50" i="4" s="1"/>
  <c r="F57" i="4" s="1"/>
  <c r="F63" i="4" s="1"/>
  <c r="H7" i="4" l="1"/>
  <c r="G17" i="4"/>
  <c r="G23" i="4" s="1"/>
  <c r="G28" i="4" s="1"/>
  <c r="G44" i="4" s="1"/>
  <c r="G50" i="4" s="1"/>
  <c r="G57" i="4" s="1"/>
  <c r="G63" i="4" s="1"/>
  <c r="I7" i="4" l="1"/>
  <c r="H17" i="4"/>
  <c r="H23" i="4" s="1"/>
  <c r="H28" i="4" s="1"/>
  <c r="H44" i="4" s="1"/>
  <c r="H50" i="4" s="1"/>
  <c r="H57" i="4" s="1"/>
  <c r="H63" i="4" s="1"/>
  <c r="J7" i="4" l="1"/>
  <c r="I17" i="4"/>
  <c r="I23" i="4" s="1"/>
  <c r="I28" i="4" s="1"/>
  <c r="I44" i="4" s="1"/>
  <c r="I50" i="4" s="1"/>
  <c r="I57" i="4" s="1"/>
  <c r="I63" i="4" s="1"/>
  <c r="K7" i="4" l="1"/>
  <c r="J17" i="4"/>
  <c r="J23" i="4" s="1"/>
  <c r="J28" i="4" s="1"/>
  <c r="J44" i="4" s="1"/>
  <c r="J50" i="4" s="1"/>
  <c r="J57" i="4" s="1"/>
  <c r="J63" i="4" s="1"/>
  <c r="L7" i="4" l="1"/>
  <c r="K17" i="4"/>
  <c r="K23" i="4" s="1"/>
  <c r="K28" i="4" s="1"/>
  <c r="K44" i="4" s="1"/>
  <c r="K50" i="4" s="1"/>
  <c r="K57" i="4" s="1"/>
  <c r="K63" i="4" s="1"/>
  <c r="M7" i="4" l="1"/>
  <c r="L17" i="4"/>
  <c r="L23" i="4" s="1"/>
  <c r="L28" i="4" s="1"/>
  <c r="L44" i="4" s="1"/>
  <c r="L50" i="4" s="1"/>
  <c r="L57" i="4" s="1"/>
  <c r="L63" i="4" s="1"/>
  <c r="N7" i="4" l="1"/>
  <c r="N17" i="4" s="1"/>
  <c r="N23" i="4" s="1"/>
  <c r="N28" i="4" s="1"/>
  <c r="N44" i="4" s="1"/>
  <c r="N50" i="4" s="1"/>
  <c r="N57" i="4" s="1"/>
  <c r="N63" i="4" s="1"/>
  <c r="M17" i="4"/>
  <c r="M23" i="4" s="1"/>
  <c r="M28" i="4" s="1"/>
  <c r="M44" i="4" s="1"/>
  <c r="M50" i="4" s="1"/>
  <c r="M57" i="4" s="1"/>
  <c r="M63" i="4" s="1"/>
  <c r="A12" i="29" l="1"/>
  <c r="D37" i="29" l="1"/>
  <c r="D38" i="29"/>
  <c r="D39" i="29" l="1"/>
  <c r="K18" i="5" l="1"/>
  <c r="H18" i="5"/>
  <c r="E18" i="5"/>
  <c r="C20" i="5"/>
  <c r="A50" i="4" l="1"/>
  <c r="A44" i="4"/>
  <c r="A17" i="4"/>
  <c r="A7" i="4"/>
  <c r="A67" i="4" l="1"/>
  <c r="A66" i="4"/>
  <c r="A65" i="4"/>
  <c r="A64" i="4"/>
  <c r="A63" i="4"/>
  <c r="A59" i="4"/>
  <c r="A60" i="4"/>
  <c r="A61" i="4"/>
  <c r="A58" i="4"/>
  <c r="A57" i="4"/>
  <c r="I20" i="5" l="1"/>
  <c r="L20" i="5" l="1"/>
  <c r="F20" i="5"/>
  <c r="A40" i="4" l="1"/>
  <c r="A39" i="4"/>
  <c r="A35" i="4"/>
  <c r="A34" i="4"/>
  <c r="A30" i="4"/>
  <c r="A29" i="4"/>
  <c r="A25" i="4"/>
  <c r="A24" i="4"/>
  <c r="D38" i="17" l="1"/>
  <c r="D37" i="17"/>
  <c r="D39" i="17" l="1"/>
  <c r="AG20" i="2" l="1"/>
  <c r="AH20" i="2"/>
  <c r="AH22" i="2"/>
  <c r="AH21" i="2"/>
  <c r="G20" i="2"/>
  <c r="AC40" i="3"/>
  <c r="F20" i="2"/>
  <c r="G21" i="2"/>
  <c r="E19" i="2"/>
  <c r="AD35" i="3"/>
  <c r="M49" i="3"/>
  <c r="AD36" i="3" s="1"/>
  <c r="L47" i="3"/>
  <c r="M47" i="3" s="1"/>
  <c r="J47" i="3"/>
  <c r="V41" i="3"/>
  <c r="U41" i="3"/>
  <c r="S41" i="3"/>
  <c r="R41" i="3"/>
  <c r="P41" i="3"/>
  <c r="O41" i="3"/>
  <c r="F15" i="3" s="1"/>
  <c r="D22" i="3"/>
  <c r="D24" i="3" s="1"/>
  <c r="M45" i="3"/>
  <c r="M60" i="3" s="1"/>
  <c r="M43" i="3"/>
  <c r="M42" i="3"/>
  <c r="AD34" i="3" s="1"/>
  <c r="AD37" i="3" s="1"/>
  <c r="M41" i="3"/>
  <c r="M40" i="3"/>
  <c r="M39" i="3"/>
  <c r="C11" i="3" s="1"/>
  <c r="M38" i="3"/>
  <c r="C14" i="3" s="1"/>
  <c r="M37" i="3"/>
  <c r="M36" i="3"/>
  <c r="M35" i="3"/>
  <c r="M53" i="3" s="1"/>
  <c r="C8" i="3"/>
  <c r="G51" i="3"/>
  <c r="F51" i="3"/>
  <c r="I49" i="3"/>
  <c r="AC36" i="3" s="1"/>
  <c r="G47" i="3"/>
  <c r="I45" i="3"/>
  <c r="I51" i="3" s="1"/>
  <c r="G43" i="3"/>
  <c r="F43" i="3"/>
  <c r="F47" i="3" s="1"/>
  <c r="I47" i="3" s="1"/>
  <c r="I43" i="3"/>
  <c r="I42" i="3"/>
  <c r="AC34" i="3" s="1"/>
  <c r="I41" i="3"/>
  <c r="C15" i="3"/>
  <c r="I40" i="3"/>
  <c r="I39" i="3"/>
  <c r="I38" i="3"/>
  <c r="I37" i="3"/>
  <c r="C9" i="3"/>
  <c r="I36" i="3"/>
  <c r="C10" i="3"/>
  <c r="I35" i="3"/>
  <c r="G24" i="3"/>
  <c r="F21" i="2"/>
  <c r="F22" i="2"/>
  <c r="D20" i="2"/>
  <c r="E20" i="2"/>
  <c r="D21" i="2"/>
  <c r="AG22" i="2"/>
  <c r="AG21" i="2"/>
  <c r="D17" i="2"/>
  <c r="E17" i="2"/>
  <c r="F17" i="2" s="1"/>
  <c r="G17" i="2" s="1"/>
  <c r="H17" i="2" s="1"/>
  <c r="I17" i="2" s="1"/>
  <c r="J17" i="2" s="1"/>
  <c r="K17" i="2" s="1"/>
  <c r="L17" i="2" s="1"/>
  <c r="M17" i="2" s="1"/>
  <c r="N17" i="2" s="1"/>
  <c r="O17" i="2" s="1"/>
  <c r="P17" i="2" s="1"/>
  <c r="Q17" i="2" s="1"/>
  <c r="R17" i="2" s="1"/>
  <c r="S17" i="2" s="1"/>
  <c r="T17" i="2" s="1"/>
  <c r="U17" i="2" s="1"/>
  <c r="V17" i="2" s="1"/>
  <c r="W17" i="2" s="1"/>
  <c r="X17" i="2" s="1"/>
  <c r="Y17" i="2" s="1"/>
  <c r="Z17" i="2" s="1"/>
  <c r="AA17" i="2" s="1"/>
  <c r="AB17" i="2" s="1"/>
  <c r="AC17" i="2" s="1"/>
  <c r="AD17" i="2" s="1"/>
  <c r="AE17" i="2" s="1"/>
  <c r="AF17" i="2" s="1"/>
  <c r="AG17" i="2" s="1"/>
  <c r="AH17" i="2" s="1"/>
  <c r="E21" i="2"/>
  <c r="E22" i="2"/>
  <c r="D19" i="2"/>
  <c r="G22" i="2"/>
  <c r="D22" i="2"/>
  <c r="J24" i="3" l="1"/>
  <c r="C16" i="3"/>
  <c r="AC37" i="3"/>
  <c r="C12" i="3"/>
  <c r="AC35" i="3"/>
  <c r="M55" i="3"/>
  <c r="J22" i="3"/>
  <c r="M51" i="3"/>
  <c r="R15" i="3"/>
  <c r="G19" i="2"/>
  <c r="D26" i="2"/>
  <c r="L15" i="3"/>
  <c r="I15" i="3"/>
  <c r="O15" i="3"/>
  <c r="AG19" i="2"/>
  <c r="AH19" i="2"/>
  <c r="U15" i="3"/>
  <c r="F19" i="2"/>
  <c r="E26" i="2"/>
  <c r="G26" i="2"/>
  <c r="F26" i="2"/>
  <c r="C18" i="3" l="1"/>
  <c r="M57" i="3"/>
  <c r="C20" i="3"/>
  <c r="D15" i="3" l="1"/>
  <c r="D10" i="3"/>
  <c r="D9" i="3"/>
  <c r="D14" i="3"/>
  <c r="D16" i="3" s="1"/>
  <c r="D8" i="3"/>
  <c r="D11" i="3"/>
  <c r="D18" i="3"/>
  <c r="H21" i="2"/>
  <c r="H22" i="2"/>
  <c r="F23" i="38"/>
  <c r="H20" i="2"/>
  <c r="AD40" i="3"/>
  <c r="D12" i="3" l="1"/>
  <c r="I22" i="2"/>
  <c r="H26" i="2"/>
  <c r="I21" i="2"/>
  <c r="I20" i="2"/>
  <c r="D54" i="38" l="1"/>
  <c r="D42" i="38"/>
  <c r="D53" i="38"/>
  <c r="J22" i="2"/>
  <c r="I26" i="2"/>
  <c r="J20" i="2"/>
  <c r="K20" i="2" l="1"/>
  <c r="K21" i="2"/>
  <c r="D70" i="38"/>
  <c r="K70" i="38" s="1"/>
  <c r="D68" i="38"/>
  <c r="F68" i="38" s="1"/>
  <c r="F41" i="38"/>
  <c r="D69" i="38"/>
  <c r="D63" i="38"/>
  <c r="D59" i="38"/>
  <c r="K64" i="38"/>
  <c r="D60" i="38"/>
  <c r="G60" i="38" s="1"/>
  <c r="D62" i="38"/>
  <c r="D61" i="38"/>
  <c r="F61" i="38" s="1"/>
  <c r="K22" i="2"/>
  <c r="I59" i="38" l="1"/>
  <c r="F59" i="38"/>
  <c r="L20" i="2"/>
  <c r="L21" i="2"/>
  <c r="K41" i="38"/>
  <c r="K48" i="38"/>
  <c r="G62" i="38"/>
  <c r="F62" i="38"/>
  <c r="F63" i="38"/>
  <c r="G63" i="38"/>
  <c r="J63" i="38"/>
  <c r="J65" i="38" s="1"/>
  <c r="H63" i="38"/>
  <c r="H65" i="38" s="1"/>
  <c r="E63" i="38"/>
  <c r="E65" i="38" s="1"/>
  <c r="I63" i="38"/>
  <c r="K65" i="38"/>
  <c r="D64" i="38"/>
  <c r="D65" i="38" s="1"/>
  <c r="D52" i="38"/>
  <c r="L22" i="2"/>
  <c r="K26" i="2"/>
  <c r="M20" i="2" l="1"/>
  <c r="M21" i="2"/>
  <c r="D41" i="38"/>
  <c r="D44" i="38" s="1"/>
  <c r="G65" i="38"/>
  <c r="D55" i="38"/>
  <c r="I65" i="38"/>
  <c r="D48" i="38"/>
  <c r="K49" i="38"/>
  <c r="F65" i="38"/>
  <c r="M22" i="2"/>
  <c r="L26" i="2"/>
  <c r="N21" i="2" l="1"/>
  <c r="D46" i="38"/>
  <c r="D45" i="38" s="1"/>
  <c r="N22" i="2"/>
  <c r="M26" i="2"/>
  <c r="U23" i="5"/>
  <c r="B11" i="5" s="1"/>
  <c r="B12" i="5" s="1"/>
  <c r="N20" i="2"/>
  <c r="O20" i="2" l="1"/>
  <c r="O21" i="2"/>
  <c r="I45" i="38"/>
  <c r="F45" i="38"/>
  <c r="J45" i="38"/>
  <c r="H45" i="38"/>
  <c r="E45" i="38"/>
  <c r="G45" i="38"/>
  <c r="J46" i="38"/>
  <c r="G46" i="38"/>
  <c r="F46" i="38"/>
  <c r="H46" i="38"/>
  <c r="E46" i="38"/>
  <c r="I46" i="38"/>
  <c r="V24" i="5"/>
  <c r="O22" i="2"/>
  <c r="U24" i="5"/>
  <c r="B7" i="5" s="1"/>
  <c r="P20" i="2" l="1"/>
  <c r="P21" i="2"/>
  <c r="J47" i="38"/>
  <c r="J49" i="38" s="1"/>
  <c r="I47" i="38"/>
  <c r="I49" i="38" s="1"/>
  <c r="H47" i="38"/>
  <c r="H49" i="38" s="1"/>
  <c r="F47" i="38"/>
  <c r="F49" i="38" s="1"/>
  <c r="E47" i="38"/>
  <c r="E49" i="38" s="1"/>
  <c r="G47" i="38"/>
  <c r="G49" i="38" s="1"/>
  <c r="P22" i="2"/>
  <c r="E7" i="5"/>
  <c r="Q20" i="2" l="1"/>
  <c r="Q21" i="2"/>
  <c r="D49" i="38"/>
  <c r="E54" i="38" s="1"/>
  <c r="D47" i="38"/>
  <c r="W24" i="5"/>
  <c r="H7" i="5" s="1"/>
  <c r="Q22" i="2"/>
  <c r="R20" i="2" l="1"/>
  <c r="G52" i="38"/>
  <c r="K53" i="38"/>
  <c r="G69" i="38"/>
  <c r="H31" i="38"/>
  <c r="J69" i="38"/>
  <c r="I69" i="38"/>
  <c r="F52" i="38"/>
  <c r="J53" i="38"/>
  <c r="I52" i="38"/>
  <c r="I51" i="38"/>
  <c r="H53" i="38"/>
  <c r="G31" i="38"/>
  <c r="K52" i="38"/>
  <c r="K54" i="38"/>
  <c r="H51" i="38"/>
  <c r="J54" i="38"/>
  <c r="G51" i="38"/>
  <c r="F51" i="38"/>
  <c r="J51" i="38"/>
  <c r="K31" i="38"/>
  <c r="E31" i="38"/>
  <c r="I54" i="38"/>
  <c r="F31" i="38"/>
  <c r="H69" i="38"/>
  <c r="G53" i="38"/>
  <c r="I53" i="38"/>
  <c r="H52" i="38"/>
  <c r="K69" i="38"/>
  <c r="E69" i="38"/>
  <c r="D56" i="38"/>
  <c r="E51" i="38"/>
  <c r="E53" i="38"/>
  <c r="I31" i="38"/>
  <c r="H54" i="38"/>
  <c r="G54" i="38"/>
  <c r="F54" i="38"/>
  <c r="J31" i="38"/>
  <c r="F53" i="38"/>
  <c r="J52" i="38"/>
  <c r="F69" i="38"/>
  <c r="K51" i="38"/>
  <c r="E52" i="38"/>
  <c r="V23" i="5"/>
  <c r="E11" i="5" s="1"/>
  <c r="E12" i="5" s="1"/>
  <c r="R22" i="2"/>
  <c r="S20" i="2" l="1"/>
  <c r="S21" i="2"/>
  <c r="I55" i="38"/>
  <c r="I56" i="38" s="1"/>
  <c r="J55" i="38"/>
  <c r="J56" i="38" s="1"/>
  <c r="K55" i="38"/>
  <c r="K56" i="38" s="1"/>
  <c r="H55" i="38"/>
  <c r="H56" i="38" s="1"/>
  <c r="G55" i="38"/>
  <c r="G56" i="38" s="1"/>
  <c r="F55" i="38"/>
  <c r="F56" i="38" s="1"/>
  <c r="D31" i="38"/>
  <c r="E55" i="38"/>
  <c r="E56" i="38" s="1"/>
  <c r="R21" i="2"/>
  <c r="W23" i="5"/>
  <c r="H11" i="5" s="1"/>
  <c r="H12" i="5" s="1"/>
  <c r="S22" i="2"/>
  <c r="T20" i="2" l="1"/>
  <c r="T21" i="2"/>
  <c r="T22" i="2"/>
  <c r="U21" i="2" l="1"/>
  <c r="X24" i="5"/>
  <c r="K7" i="5" s="1"/>
  <c r="U22" i="2"/>
  <c r="U20" i="2"/>
  <c r="V21" i="2" l="1"/>
  <c r="X23" i="5"/>
  <c r="K11" i="5" s="1"/>
  <c r="K12" i="5" s="1"/>
  <c r="Y24" i="5"/>
  <c r="N7" i="5" s="1"/>
  <c r="V22" i="2"/>
  <c r="V20" i="2"/>
  <c r="W21" i="2" l="1"/>
  <c r="W22" i="2"/>
  <c r="W20" i="2"/>
  <c r="X21" i="2" l="1"/>
  <c r="D42" i="34"/>
  <c r="D53" i="34"/>
  <c r="Y23" i="5"/>
  <c r="N11" i="5" s="1"/>
  <c r="N12" i="5" s="1"/>
  <c r="X22" i="2"/>
  <c r="X20" i="2"/>
  <c r="Y21" i="2" l="1"/>
  <c r="K64" i="34"/>
  <c r="K65" i="34" s="1"/>
  <c r="F41" i="34"/>
  <c r="D54" i="34"/>
  <c r="D59" i="34"/>
  <c r="D52" i="34"/>
  <c r="D69" i="34"/>
  <c r="D60" i="34"/>
  <c r="G60" i="34" s="1"/>
  <c r="D51" i="34"/>
  <c r="K48" i="34"/>
  <c r="D48" i="34" s="1"/>
  <c r="D62" i="34"/>
  <c r="D70" i="34"/>
  <c r="K70" i="34" s="1"/>
  <c r="D63" i="34"/>
  <c r="Y22" i="2"/>
  <c r="Y20" i="2"/>
  <c r="D68" i="34"/>
  <c r="F68" i="34" s="1"/>
  <c r="F59" i="34" l="1"/>
  <c r="I59" i="34"/>
  <c r="Z20" i="2"/>
  <c r="K41" i="34"/>
  <c r="D41" i="34" s="1"/>
  <c r="D44" i="34" s="1"/>
  <c r="D46" i="34" s="1"/>
  <c r="D45" i="34" s="1"/>
  <c r="Z21" i="2"/>
  <c r="Z22" i="2"/>
  <c r="D61" i="34"/>
  <c r="F61" i="34" s="1"/>
  <c r="D64" i="34"/>
  <c r="D55" i="34"/>
  <c r="G62" i="34"/>
  <c r="F62" i="34"/>
  <c r="F63" i="34"/>
  <c r="G63" i="34"/>
  <c r="J63" i="34"/>
  <c r="J65" i="34" s="1"/>
  <c r="I63" i="34"/>
  <c r="E63" i="34"/>
  <c r="E65" i="34" s="1"/>
  <c r="H63" i="34"/>
  <c r="H65" i="34" s="1"/>
  <c r="I65" i="34" l="1"/>
  <c r="AA21" i="2"/>
  <c r="K49" i="34"/>
  <c r="D65" i="34"/>
  <c r="F65" i="34"/>
  <c r="G65" i="34"/>
  <c r="G45" i="34"/>
  <c r="H45" i="34"/>
  <c r="J45" i="34"/>
  <c r="E45" i="34"/>
  <c r="F45" i="34"/>
  <c r="I45" i="34"/>
  <c r="H46" i="34"/>
  <c r="F46" i="34"/>
  <c r="I46" i="34"/>
  <c r="J46" i="34"/>
  <c r="G46" i="34"/>
  <c r="E46" i="34"/>
  <c r="AA22" i="2"/>
  <c r="AA20" i="2"/>
  <c r="AB20" i="2" l="1"/>
  <c r="AB21" i="2"/>
  <c r="J47" i="34"/>
  <c r="J49" i="34" s="1"/>
  <c r="I47" i="34"/>
  <c r="I49" i="34" s="1"/>
  <c r="E47" i="34"/>
  <c r="H47" i="34"/>
  <c r="H49" i="34" s="1"/>
  <c r="F47" i="34"/>
  <c r="F49" i="34" s="1"/>
  <c r="G47" i="34"/>
  <c r="G49" i="34" s="1"/>
  <c r="AB22" i="2"/>
  <c r="AC20" i="2" l="1"/>
  <c r="AC21" i="2"/>
  <c r="E49" i="34"/>
  <c r="D47" i="34"/>
  <c r="AC22" i="2"/>
  <c r="AD22" i="2" l="1"/>
  <c r="AD20" i="2"/>
  <c r="AD21" i="2"/>
  <c r="D49" i="34"/>
  <c r="E69" i="34" s="1"/>
  <c r="AE20" i="2" l="1"/>
  <c r="AE21" i="2"/>
  <c r="E51" i="34"/>
  <c r="E54" i="34"/>
  <c r="E52" i="34"/>
  <c r="E53" i="34"/>
  <c r="E31" i="34"/>
  <c r="D56" i="34"/>
  <c r="K69" i="34"/>
  <c r="K53" i="34"/>
  <c r="K54" i="34"/>
  <c r="K51" i="34"/>
  <c r="K52" i="34"/>
  <c r="K31" i="34"/>
  <c r="J51" i="34"/>
  <c r="J69" i="34"/>
  <c r="I53" i="34"/>
  <c r="J31" i="34"/>
  <c r="J52" i="34"/>
  <c r="I51" i="34"/>
  <c r="I52" i="34"/>
  <c r="J53" i="34"/>
  <c r="I31" i="34"/>
  <c r="J54" i="34"/>
  <c r="I54" i="34"/>
  <c r="I69" i="34"/>
  <c r="G53" i="34"/>
  <c r="F52" i="34"/>
  <c r="F69" i="34"/>
  <c r="H54" i="34"/>
  <c r="G69" i="34"/>
  <c r="G51" i="34"/>
  <c r="F53" i="34"/>
  <c r="H52" i="34"/>
  <c r="H53" i="34"/>
  <c r="G31" i="34"/>
  <c r="F54" i="34"/>
  <c r="F31" i="34"/>
  <c r="H31" i="34"/>
  <c r="G54" i="34"/>
  <c r="G52" i="34"/>
  <c r="F51" i="34"/>
  <c r="H51" i="34"/>
  <c r="H69" i="34"/>
  <c r="AE22" i="2"/>
  <c r="AF21" i="2" l="1"/>
  <c r="E55" i="34"/>
  <c r="E56" i="34" s="1"/>
  <c r="F55" i="34"/>
  <c r="F56" i="34" s="1"/>
  <c r="H55" i="34"/>
  <c r="H56" i="34" s="1"/>
  <c r="J55" i="34"/>
  <c r="J56" i="34" s="1"/>
  <c r="D31" i="34"/>
  <c r="G55" i="34"/>
  <c r="G56" i="34" s="1"/>
  <c r="I55" i="34"/>
  <c r="I56" i="34" s="1"/>
  <c r="K55" i="34"/>
  <c r="AF22" i="2"/>
  <c r="K56" i="34" l="1"/>
  <c r="AF20" i="2"/>
  <c r="F23" i="17"/>
  <c r="F18" i="38" l="1"/>
  <c r="D18" i="38" l="1"/>
  <c r="F18" i="17"/>
  <c r="K41" i="17"/>
  <c r="D41" i="17" s="1"/>
  <c r="K41" i="29"/>
  <c r="D41" i="29" s="1"/>
  <c r="D51" i="29"/>
  <c r="D51" i="17"/>
  <c r="D52" i="29"/>
  <c r="F41" i="17"/>
  <c r="F41" i="29"/>
  <c r="D52" i="17"/>
  <c r="K48" i="29"/>
  <c r="K48" i="17"/>
  <c r="D18" i="17" l="1"/>
  <c r="D48" i="29"/>
  <c r="K49" i="29"/>
  <c r="K49" i="17"/>
  <c r="D48" i="17"/>
  <c r="D61" i="17" l="1"/>
  <c r="F61" i="17" s="1"/>
  <c r="K64" i="29"/>
  <c r="D69" i="17"/>
  <c r="D63" i="17"/>
  <c r="D70" i="17"/>
  <c r="K70" i="17" s="1"/>
  <c r="D59" i="17"/>
  <c r="D60" i="17"/>
  <c r="G60" i="17" s="1"/>
  <c r="D59" i="29"/>
  <c r="K64" i="17"/>
  <c r="D62" i="17"/>
  <c r="D60" i="29"/>
  <c r="G60" i="29" s="1"/>
  <c r="D62" i="29"/>
  <c r="D68" i="17"/>
  <c r="F68" i="17" s="1"/>
  <c r="D63" i="29"/>
  <c r="D61" i="29"/>
  <c r="F61" i="29" s="1"/>
  <c r="D70" i="29"/>
  <c r="K70" i="29" s="1"/>
  <c r="D69" i="29"/>
  <c r="D68" i="29"/>
  <c r="F68" i="29" s="1"/>
  <c r="I59" i="29" l="1"/>
  <c r="F59" i="29"/>
  <c r="I59" i="17"/>
  <c r="F59" i="17"/>
  <c r="G62" i="29"/>
  <c r="F62" i="29"/>
  <c r="G62" i="17"/>
  <c r="F62" i="17"/>
  <c r="D64" i="29"/>
  <c r="D65" i="29" s="1"/>
  <c r="K65" i="29"/>
  <c r="D64" i="17"/>
  <c r="D65" i="17" s="1"/>
  <c r="K65" i="17"/>
  <c r="J63" i="17"/>
  <c r="J65" i="17" s="1"/>
  <c r="G63" i="17"/>
  <c r="E63" i="17"/>
  <c r="E65" i="17" s="1"/>
  <c r="F63" i="17"/>
  <c r="H63" i="17"/>
  <c r="H65" i="17" s="1"/>
  <c r="I63" i="17"/>
  <c r="H63" i="29"/>
  <c r="H65" i="29" s="1"/>
  <c r="J63" i="29"/>
  <c r="J65" i="29" s="1"/>
  <c r="I63" i="29"/>
  <c r="E63" i="29"/>
  <c r="E65" i="29" s="1"/>
  <c r="F63" i="29"/>
  <c r="G63" i="29"/>
  <c r="D53" i="29"/>
  <c r="D42" i="29"/>
  <c r="D44" i="29" s="1"/>
  <c r="D54" i="29"/>
  <c r="D42" i="17"/>
  <c r="D44" i="17" s="1"/>
  <c r="D53" i="17"/>
  <c r="D54" i="17"/>
  <c r="D55" i="29" l="1"/>
  <c r="D46" i="29"/>
  <c r="D45" i="29" s="1"/>
  <c r="I65" i="29"/>
  <c r="G65" i="29"/>
  <c r="G65" i="17"/>
  <c r="D55" i="17"/>
  <c r="F65" i="17"/>
  <c r="F65" i="29"/>
  <c r="D46" i="17"/>
  <c r="D45" i="17" s="1"/>
  <c r="I65" i="17"/>
  <c r="H45" i="29" l="1"/>
  <c r="F45" i="29"/>
  <c r="E45" i="29"/>
  <c r="G45" i="29"/>
  <c r="I45" i="29"/>
  <c r="J45" i="29"/>
  <c r="F46" i="29"/>
  <c r="H46" i="29"/>
  <c r="E46" i="29"/>
  <c r="I46" i="29"/>
  <c r="G46" i="29"/>
  <c r="J46" i="29"/>
  <c r="F45" i="17"/>
  <c r="I45" i="17"/>
  <c r="H45" i="17"/>
  <c r="G45" i="17"/>
  <c r="E45" i="17"/>
  <c r="J45" i="17"/>
  <c r="H46" i="17"/>
  <c r="I46" i="17"/>
  <c r="G46" i="17"/>
  <c r="F46" i="17"/>
  <c r="E46" i="17"/>
  <c r="J46" i="17"/>
  <c r="O57" i="3"/>
  <c r="O58" i="3" s="1"/>
  <c r="F18" i="3"/>
  <c r="F47" i="29" l="1"/>
  <c r="F49" i="29" s="1"/>
  <c r="I47" i="29"/>
  <c r="I49" i="29" s="1"/>
  <c r="J47" i="29"/>
  <c r="J49" i="29" s="1"/>
  <c r="E47" i="29"/>
  <c r="G47" i="29"/>
  <c r="G49" i="29" s="1"/>
  <c r="H47" i="29"/>
  <c r="H49" i="29" s="1"/>
  <c r="F47" i="17"/>
  <c r="F49" i="17" s="1"/>
  <c r="I47" i="17"/>
  <c r="I49" i="17" s="1"/>
  <c r="J47" i="17"/>
  <c r="J49" i="17" s="1"/>
  <c r="H47" i="17"/>
  <c r="H49" i="17" s="1"/>
  <c r="E47" i="17"/>
  <c r="G47" i="17"/>
  <c r="G49" i="17" s="1"/>
  <c r="P57" i="3"/>
  <c r="P58" i="3" s="1"/>
  <c r="I18" i="3"/>
  <c r="E49" i="29" l="1"/>
  <c r="D47" i="29"/>
  <c r="E49" i="17"/>
  <c r="D47" i="17"/>
  <c r="R57" i="3"/>
  <c r="R58" i="3" s="1"/>
  <c r="L18" i="3"/>
  <c r="D49" i="29" l="1"/>
  <c r="E51" i="29" s="1"/>
  <c r="D49" i="17"/>
  <c r="E69" i="17" s="1"/>
  <c r="O18" i="3"/>
  <c r="S57" i="3"/>
  <c r="S58" i="3" s="1"/>
  <c r="E53" i="29" l="1"/>
  <c r="E69" i="29"/>
  <c r="E54" i="29"/>
  <c r="K51" i="29"/>
  <c r="K52" i="29"/>
  <c r="F52" i="29"/>
  <c r="K53" i="29"/>
  <c r="F51" i="29"/>
  <c r="F31" i="29"/>
  <c r="K54" i="29"/>
  <c r="F54" i="29"/>
  <c r="K31" i="29"/>
  <c r="D56" i="29"/>
  <c r="F69" i="29"/>
  <c r="K69" i="29"/>
  <c r="F53" i="29"/>
  <c r="I53" i="29"/>
  <c r="I69" i="29"/>
  <c r="I51" i="29"/>
  <c r="I52" i="29"/>
  <c r="I31" i="29"/>
  <c r="I54" i="29"/>
  <c r="H51" i="29"/>
  <c r="J51" i="29"/>
  <c r="G54" i="29"/>
  <c r="J52" i="29"/>
  <c r="G53" i="29"/>
  <c r="H69" i="29"/>
  <c r="H54" i="29"/>
  <c r="H31" i="29"/>
  <c r="J69" i="29"/>
  <c r="G69" i="29"/>
  <c r="J54" i="29"/>
  <c r="G31" i="29"/>
  <c r="H53" i="29"/>
  <c r="J53" i="29"/>
  <c r="G51" i="29"/>
  <c r="H52" i="29"/>
  <c r="J31" i="29"/>
  <c r="G52" i="29"/>
  <c r="E52" i="29"/>
  <c r="E31" i="29"/>
  <c r="E31" i="17"/>
  <c r="E53" i="17"/>
  <c r="E52" i="17"/>
  <c r="E54" i="17"/>
  <c r="K53" i="17"/>
  <c r="F51" i="17"/>
  <c r="J51" i="17"/>
  <c r="J54" i="17"/>
  <c r="F69" i="17"/>
  <c r="H54" i="17"/>
  <c r="K52" i="17"/>
  <c r="I53" i="17"/>
  <c r="I54" i="17"/>
  <c r="K69" i="17"/>
  <c r="F52" i="17"/>
  <c r="J52" i="17"/>
  <c r="K54" i="17"/>
  <c r="K31" i="17"/>
  <c r="J69" i="17"/>
  <c r="J53" i="17"/>
  <c r="F54" i="17"/>
  <c r="I31" i="17"/>
  <c r="G69" i="17"/>
  <c r="J31" i="17"/>
  <c r="G51" i="17"/>
  <c r="F53" i="17"/>
  <c r="D56" i="17"/>
  <c r="I51" i="17"/>
  <c r="K51" i="17"/>
  <c r="G54" i="17"/>
  <c r="H31" i="17"/>
  <c r="I52" i="17"/>
  <c r="F31" i="17"/>
  <c r="I69" i="17"/>
  <c r="H51" i="17"/>
  <c r="G31" i="17"/>
  <c r="G52" i="17"/>
  <c r="H52" i="17"/>
  <c r="H69" i="17"/>
  <c r="G53" i="17"/>
  <c r="H53" i="17"/>
  <c r="E51" i="17"/>
  <c r="R18" i="3"/>
  <c r="U57" i="3"/>
  <c r="U58" i="3" s="1"/>
  <c r="E55" i="29" l="1"/>
  <c r="E56" i="29" s="1"/>
  <c r="G55" i="29"/>
  <c r="G56" i="29" s="1"/>
  <c r="D31" i="29"/>
  <c r="F55" i="29"/>
  <c r="F56" i="29" s="1"/>
  <c r="I55" i="29"/>
  <c r="I56" i="29" s="1"/>
  <c r="H55" i="29"/>
  <c r="H56" i="29" s="1"/>
  <c r="J55" i="29"/>
  <c r="J56" i="29" s="1"/>
  <c r="K55" i="29"/>
  <c r="D31" i="17"/>
  <c r="G55" i="17"/>
  <c r="G56" i="17" s="1"/>
  <c r="J55" i="17"/>
  <c r="J56" i="17" s="1"/>
  <c r="F55" i="17"/>
  <c r="F56" i="17" s="1"/>
  <c r="E55" i="17"/>
  <c r="E56" i="17" s="1"/>
  <c r="H55" i="17"/>
  <c r="H56" i="17" s="1"/>
  <c r="K55" i="17"/>
  <c r="I55" i="17"/>
  <c r="I56" i="17" s="1"/>
  <c r="U18" i="3"/>
  <c r="V57" i="3"/>
  <c r="V58" i="3" s="1"/>
  <c r="K56" i="29" l="1"/>
  <c r="K56" i="17"/>
  <c r="F18" i="29" l="1"/>
  <c r="D18" i="29" l="1"/>
  <c r="F18" i="34"/>
  <c r="D18" i="34" l="1"/>
  <c r="U6" i="5" l="1"/>
  <c r="B6" i="5" s="1"/>
  <c r="V8" i="5"/>
  <c r="V25" i="5" s="1"/>
  <c r="U8" i="5"/>
  <c r="U25" i="5" s="1"/>
  <c r="Y10" i="5"/>
  <c r="V6" i="5"/>
  <c r="X10" i="5"/>
  <c r="X7" i="5"/>
  <c r="X8" i="5"/>
  <c r="X25" i="5" s="1"/>
  <c r="V9" i="5"/>
  <c r="W6" i="5"/>
  <c r="Y7" i="5"/>
  <c r="Y8" i="5"/>
  <c r="Y25" i="5" s="1"/>
  <c r="V10" i="5"/>
  <c r="W10" i="5"/>
  <c r="V7" i="5"/>
  <c r="W9" i="5"/>
  <c r="X9" i="5"/>
  <c r="U9" i="5"/>
  <c r="W7" i="5"/>
  <c r="X6" i="5"/>
  <c r="U7" i="5"/>
  <c r="B5" i="5" s="1"/>
  <c r="Y9" i="5"/>
  <c r="U5" i="5"/>
  <c r="B4" i="5" s="1"/>
  <c r="W8" i="5"/>
  <c r="W25" i="5" s="1"/>
  <c r="Y6" i="5"/>
  <c r="S38" i="3"/>
  <c r="U38" i="3"/>
  <c r="S40" i="3"/>
  <c r="P38" i="3"/>
  <c r="P39" i="3"/>
  <c r="O36" i="3"/>
  <c r="F10" i="3" s="1"/>
  <c r="R40" i="3"/>
  <c r="P37" i="3"/>
  <c r="V37" i="3"/>
  <c r="R39" i="3"/>
  <c r="V39" i="3"/>
  <c r="S39" i="3"/>
  <c r="V36" i="3"/>
  <c r="V40" i="3"/>
  <c r="O39" i="3"/>
  <c r="R37" i="3"/>
  <c r="S36" i="3"/>
  <c r="O37" i="3"/>
  <c r="F9" i="3" s="1"/>
  <c r="O38" i="3"/>
  <c r="O35" i="3"/>
  <c r="R38" i="3"/>
  <c r="U39" i="3"/>
  <c r="R36" i="3"/>
  <c r="U40" i="3"/>
  <c r="V38" i="3"/>
  <c r="U37" i="3"/>
  <c r="P40" i="3"/>
  <c r="S37" i="3"/>
  <c r="P36" i="3"/>
  <c r="U36" i="3"/>
  <c r="K5" i="5" l="1"/>
  <c r="H6" i="5"/>
  <c r="O9" i="3"/>
  <c r="H8" i="5"/>
  <c r="E5" i="5"/>
  <c r="H5" i="5"/>
  <c r="E6" i="5"/>
  <c r="N6" i="5"/>
  <c r="I10" i="3"/>
  <c r="N8" i="5"/>
  <c r="O11" i="3"/>
  <c r="L9" i="3"/>
  <c r="L10" i="3"/>
  <c r="O10" i="3"/>
  <c r="L14" i="3"/>
  <c r="R55" i="3"/>
  <c r="O55" i="3"/>
  <c r="O56" i="3" s="1"/>
  <c r="F14" i="3"/>
  <c r="F16" i="3" s="1"/>
  <c r="R9" i="3"/>
  <c r="N5" i="5"/>
  <c r="R10" i="3"/>
  <c r="R11" i="3"/>
  <c r="K8" i="5"/>
  <c r="L11" i="3"/>
  <c r="R14" i="3"/>
  <c r="U55" i="3"/>
  <c r="V55" i="3"/>
  <c r="U14" i="3"/>
  <c r="K6" i="5"/>
  <c r="U10" i="3"/>
  <c r="U11" i="3"/>
  <c r="I9" i="3"/>
  <c r="S55" i="3"/>
  <c r="O14" i="3"/>
  <c r="U9" i="3"/>
  <c r="P55" i="3"/>
  <c r="I14" i="3"/>
  <c r="F8" i="3"/>
  <c r="I11" i="3"/>
  <c r="P56" i="3" l="1"/>
  <c r="S56" i="3"/>
  <c r="R56" i="3"/>
  <c r="O16" i="3"/>
  <c r="U56" i="3"/>
  <c r="L16" i="3"/>
  <c r="I16" i="3"/>
  <c r="R16" i="3"/>
  <c r="U16" i="3"/>
  <c r="V56" i="3"/>
  <c r="AC39" i="3" l="1"/>
  <c r="B15" i="4" l="1"/>
  <c r="B31" i="4"/>
  <c r="C15" i="4" l="1"/>
  <c r="B41" i="4"/>
  <c r="D15" i="4"/>
  <c r="E15" i="4"/>
  <c r="E31" i="4"/>
  <c r="D31" i="4" l="1"/>
  <c r="C41" i="4"/>
  <c r="F15" i="4" l="1"/>
  <c r="F31" i="4"/>
  <c r="G31" i="4"/>
  <c r="G15" i="4"/>
  <c r="B48" i="4" l="1"/>
  <c r="B59" i="4" s="1"/>
  <c r="B21" i="4"/>
  <c r="D41" i="4"/>
  <c r="H15" i="4"/>
  <c r="C21" i="4" l="1"/>
  <c r="B26" i="4"/>
  <c r="H31" i="4"/>
  <c r="C48" i="4"/>
  <c r="I31" i="4"/>
  <c r="I15" i="4"/>
  <c r="B58" i="4"/>
  <c r="B60" i="4"/>
  <c r="D48" i="4" l="1"/>
  <c r="D59" i="4" s="1"/>
  <c r="D21" i="4"/>
  <c r="C26" i="4"/>
  <c r="B61" i="4"/>
  <c r="E41" i="4"/>
  <c r="B54" i="4"/>
  <c r="B66" i="4" s="1"/>
  <c r="C54" i="4"/>
  <c r="C66" i="4" s="1"/>
  <c r="J15" i="4"/>
  <c r="C58" i="4"/>
  <c r="C60" i="4"/>
  <c r="E21" i="4"/>
  <c r="C59" i="4"/>
  <c r="D26" i="4" l="1"/>
  <c r="F48" i="4"/>
  <c r="F21" i="4"/>
  <c r="B36" i="4"/>
  <c r="L15" i="4"/>
  <c r="E26" i="4"/>
  <c r="J31" i="4"/>
  <c r="C61" i="4"/>
  <c r="C65" i="4"/>
  <c r="C64" i="4"/>
  <c r="K31" i="4"/>
  <c r="K15" i="4"/>
  <c r="E48" i="4"/>
  <c r="E59" i="4" s="1"/>
  <c r="D58" i="4"/>
  <c r="D60" i="4"/>
  <c r="B65" i="4"/>
  <c r="B64" i="4"/>
  <c r="D54" i="4"/>
  <c r="D66" i="4" s="1"/>
  <c r="G48" i="4" l="1"/>
  <c r="F26" i="4"/>
  <c r="B67" i="4"/>
  <c r="D61" i="4"/>
  <c r="C36" i="4"/>
  <c r="C67" i="4"/>
  <c r="F41" i="4"/>
  <c r="M31" i="4"/>
  <c r="M15" i="4"/>
  <c r="F58" i="4"/>
  <c r="F60" i="4"/>
  <c r="F54" i="4"/>
  <c r="E58" i="4"/>
  <c r="E60" i="4"/>
  <c r="D65" i="4"/>
  <c r="D64" i="4"/>
  <c r="F59" i="4"/>
  <c r="L31" i="4"/>
  <c r="G26" i="4" l="1"/>
  <c r="H48" i="4"/>
  <c r="H58" i="4" s="1"/>
  <c r="H21" i="4"/>
  <c r="G41" i="4"/>
  <c r="E61" i="4"/>
  <c r="F64" i="4"/>
  <c r="F65" i="4"/>
  <c r="D67" i="4"/>
  <c r="N15" i="4"/>
  <c r="F61" i="4"/>
  <c r="E54" i="4"/>
  <c r="E66" i="4" s="1"/>
  <c r="G58" i="4"/>
  <c r="G60" i="4"/>
  <c r="G59" i="4"/>
  <c r="F66" i="4"/>
  <c r="H26" i="4" l="1"/>
  <c r="G54" i="4"/>
  <c r="G66" i="4" s="1"/>
  <c r="D36" i="4"/>
  <c r="H60" i="4"/>
  <c r="I21" i="4"/>
  <c r="H59" i="4"/>
  <c r="G61" i="4"/>
  <c r="N31" i="4"/>
  <c r="F67" i="4"/>
  <c r="I48" i="4"/>
  <c r="I59" i="4" s="1"/>
  <c r="E65" i="4"/>
  <c r="E64" i="4"/>
  <c r="H54" i="4"/>
  <c r="H66" i="4" s="1"/>
  <c r="J21" i="4" l="1"/>
  <c r="J48" i="4"/>
  <c r="J59" i="4" s="1"/>
  <c r="H61" i="4"/>
  <c r="I26" i="4"/>
  <c r="G65" i="4"/>
  <c r="G64" i="4"/>
  <c r="H64" i="4"/>
  <c r="H65" i="4"/>
  <c r="I58" i="4"/>
  <c r="I60" i="4"/>
  <c r="E67" i="4"/>
  <c r="J26" i="4" l="1"/>
  <c r="K21" i="4"/>
  <c r="K48" i="4"/>
  <c r="K59" i="4" s="1"/>
  <c r="J60" i="4"/>
  <c r="J58" i="4"/>
  <c r="E36" i="4"/>
  <c r="L48" i="4"/>
  <c r="J54" i="4"/>
  <c r="J66" i="4" s="1"/>
  <c r="I61" i="4"/>
  <c r="I54" i="4"/>
  <c r="H67" i="4"/>
  <c r="G67" i="4"/>
  <c r="J61" i="4" l="1"/>
  <c r="M21" i="4"/>
  <c r="M48" i="4"/>
  <c r="M59" i="4" s="1"/>
  <c r="I65" i="4"/>
  <c r="I64" i="4"/>
  <c r="J64" i="4"/>
  <c r="J65" i="4"/>
  <c r="K58" i="4"/>
  <c r="K60" i="4"/>
  <c r="I66" i="4"/>
  <c r="L26" i="4"/>
  <c r="L58" i="4"/>
  <c r="L60" i="4"/>
  <c r="L59" i="4"/>
  <c r="K26" i="4"/>
  <c r="F36" i="4"/>
  <c r="N48" i="4" l="1"/>
  <c r="N59" i="4" s="1"/>
  <c r="M26" i="4"/>
  <c r="K54" i="4"/>
  <c r="L61" i="4"/>
  <c r="J67" i="4"/>
  <c r="K61" i="4"/>
  <c r="I67" i="4"/>
  <c r="L54" i="4"/>
  <c r="M54" i="4"/>
  <c r="M58" i="4"/>
  <c r="M60" i="4"/>
  <c r="G36" i="4" l="1"/>
  <c r="M61" i="4"/>
  <c r="K65" i="4"/>
  <c r="K64" i="4"/>
  <c r="K66" i="4"/>
  <c r="M65" i="4"/>
  <c r="M64" i="4"/>
  <c r="L64" i="4"/>
  <c r="L65" i="4"/>
  <c r="N26" i="4"/>
  <c r="L66" i="4"/>
  <c r="M66" i="4"/>
  <c r="N58" i="4"/>
  <c r="N60" i="4"/>
  <c r="M67" i="4" l="1"/>
  <c r="K67" i="4"/>
  <c r="N61" i="4"/>
  <c r="N54" i="4"/>
  <c r="L67" i="4"/>
  <c r="N65" i="4" l="1"/>
  <c r="N64" i="4"/>
  <c r="N66" i="4"/>
  <c r="N67" i="4" l="1"/>
  <c r="C31" i="4" l="1"/>
  <c r="G21" i="4" l="1"/>
  <c r="L21" i="4" l="1"/>
  <c r="N21" i="4" l="1"/>
  <c r="O40" i="3" l="1"/>
  <c r="O53" i="3" s="1"/>
  <c r="U10" i="5"/>
  <c r="E8" i="5" s="1"/>
  <c r="B8" i="5" l="1"/>
  <c r="B9" i="5" s="1"/>
  <c r="O54" i="3"/>
  <c r="F11" i="3"/>
  <c r="F12" i="3" l="1"/>
  <c r="F20" i="3" l="1"/>
  <c r="G10" i="3" s="1"/>
  <c r="G15" i="3"/>
  <c r="G14" i="3" l="1"/>
  <c r="G16" i="3" s="1"/>
  <c r="G8" i="3"/>
  <c r="G12" i="3" s="1"/>
  <c r="G9" i="3"/>
  <c r="G18" i="3"/>
  <c r="G11" i="3"/>
  <c r="AJ40" i="3"/>
  <c r="AI40" i="3"/>
  <c r="AH40" i="3" l="1"/>
  <c r="AG40" i="3" l="1"/>
  <c r="AE40" i="3" l="1"/>
  <c r="AF40" i="3"/>
  <c r="I32" i="37" l="1"/>
  <c r="E32" i="37" l="1"/>
  <c r="F32" i="37"/>
  <c r="K32" i="37"/>
  <c r="H32" i="37"/>
  <c r="G32" i="37"/>
  <c r="J32" i="37"/>
  <c r="D21" i="37" l="1"/>
  <c r="U15" i="5" l="1"/>
  <c r="O45" i="3" l="1"/>
  <c r="AE35" i="3" s="1"/>
  <c r="O60" i="3" l="1"/>
  <c r="O61" i="3" s="1"/>
  <c r="J71" i="37" l="1"/>
  <c r="J72" i="37" s="1"/>
  <c r="H71" i="37"/>
  <c r="H72" i="37" s="1"/>
  <c r="I71" i="37"/>
  <c r="I72" i="37" s="1"/>
  <c r="E71" i="37" l="1"/>
  <c r="E72" i="37" s="1"/>
  <c r="G71" i="37"/>
  <c r="G72" i="37" s="1"/>
  <c r="F71" i="37"/>
  <c r="F72" i="37" s="1"/>
  <c r="K71" i="37"/>
  <c r="K72" i="37" s="1"/>
  <c r="D67" i="37" l="1"/>
  <c r="D71" i="37" s="1"/>
  <c r="D72" i="37"/>
  <c r="K33" i="37" l="1"/>
  <c r="U12" i="5" l="1"/>
  <c r="O42" i="3"/>
  <c r="AE34" i="3" s="1"/>
  <c r="U13" i="5" l="1"/>
  <c r="O43" i="3"/>
  <c r="O49" i="3" l="1"/>
  <c r="U17" i="5"/>
  <c r="U21" i="5" l="1"/>
  <c r="B14" i="5" s="1"/>
  <c r="B16" i="5" s="1"/>
  <c r="U19" i="5"/>
  <c r="AE36" i="3"/>
  <c r="AE37" i="3" s="1"/>
  <c r="O47" i="3"/>
  <c r="B20" i="5" l="1"/>
  <c r="C18" i="5" s="1"/>
  <c r="C16" i="5" l="1"/>
  <c r="C6" i="5" s="1"/>
  <c r="C14" i="5" l="1"/>
  <c r="C4" i="5"/>
  <c r="C7" i="5"/>
  <c r="C5" i="5"/>
  <c r="C11" i="5"/>
  <c r="C12" i="5" s="1"/>
  <c r="C8" i="5"/>
  <c r="C9" i="5" l="1"/>
  <c r="AD39" i="3" l="1"/>
  <c r="AE39" i="3" l="1"/>
  <c r="AF39" i="3" l="1"/>
  <c r="AG39" i="3" l="1"/>
  <c r="AH39" i="3" l="1"/>
  <c r="AI39" i="3" s="1"/>
  <c r="AJ39" i="3" s="1"/>
  <c r="J33" i="37" l="1"/>
  <c r="G33" i="37"/>
  <c r="F33" i="37"/>
  <c r="I33" i="37"/>
  <c r="H33" i="37"/>
  <c r="E33" i="37" l="1"/>
  <c r="D33" i="37" s="1"/>
  <c r="D30" i="37"/>
  <c r="F17" i="38" l="1"/>
  <c r="D17" i="38" l="1"/>
  <c r="F19" i="38"/>
  <c r="H19" i="2"/>
  <c r="F24" i="38" l="1"/>
  <c r="D19" i="38"/>
  <c r="D20" i="38" s="1"/>
  <c r="D21" i="38" l="1"/>
  <c r="F17" i="17" l="1"/>
  <c r="D17" i="17" l="1"/>
  <c r="F19" i="17"/>
  <c r="I19" i="2"/>
  <c r="D19" i="17" l="1"/>
  <c r="D20" i="17" s="1"/>
  <c r="F24" i="17"/>
  <c r="D21" i="17" l="1"/>
  <c r="J19" i="2" l="1"/>
  <c r="K19" i="2" l="1"/>
  <c r="L19" i="2" l="1"/>
  <c r="M19" i="2" l="1"/>
  <c r="N19" i="2" l="1"/>
  <c r="O19" i="2" l="1"/>
  <c r="P19" i="2" l="1"/>
  <c r="Q19" i="2" l="1"/>
  <c r="R19" i="2" l="1"/>
  <c r="S19" i="2" l="1"/>
  <c r="F17" i="29" l="1"/>
  <c r="T19" i="2"/>
  <c r="U19" i="2" l="1"/>
  <c r="F23" i="29"/>
  <c r="F17" i="34"/>
  <c r="D17" i="29"/>
  <c r="F19" i="29"/>
  <c r="V19" i="2" l="1"/>
  <c r="F23" i="34"/>
  <c r="F19" i="34"/>
  <c r="D17" i="34"/>
  <c r="F24" i="29"/>
  <c r="D19" i="29"/>
  <c r="W19" i="2" l="1"/>
  <c r="D19" i="34"/>
  <c r="F24" i="34"/>
  <c r="X19" i="2" l="1"/>
  <c r="Y19" i="2" l="1"/>
  <c r="Z19" i="2" l="1"/>
  <c r="AA19" i="2" l="1"/>
  <c r="AB19" i="2" l="1"/>
  <c r="AC19" i="2" l="1"/>
  <c r="AD19" i="2" l="1"/>
  <c r="AE19" i="2" l="1"/>
  <c r="AF19" i="2" l="1"/>
  <c r="F26" i="37" l="1"/>
  <c r="D26" i="37" s="1"/>
  <c r="D28" i="37" s="1"/>
  <c r="F26" i="38" l="1"/>
  <c r="D26" i="38" s="1"/>
  <c r="D27" i="38" s="1"/>
  <c r="D28" i="38" l="1"/>
  <c r="J21" i="2" l="1"/>
  <c r="J26" i="2" s="1"/>
  <c r="U35" i="3" l="1"/>
  <c r="S35" i="3"/>
  <c r="X5" i="5"/>
  <c r="W5" i="5"/>
  <c r="R35" i="3"/>
  <c r="Y5" i="5"/>
  <c r="V5" i="5"/>
  <c r="E4" i="5" s="1"/>
  <c r="P35" i="3"/>
  <c r="N4" i="5" l="1"/>
  <c r="N9" i="5"/>
  <c r="P53" i="3"/>
  <c r="P54" i="3" s="1"/>
  <c r="I8" i="3"/>
  <c r="I12" i="3" s="1"/>
  <c r="I20" i="3" s="1"/>
  <c r="R53" i="3"/>
  <c r="L8" i="3"/>
  <c r="L12" i="3" s="1"/>
  <c r="L20" i="3" s="1"/>
  <c r="O8" i="3"/>
  <c r="S53" i="3"/>
  <c r="S54" i="3" s="1"/>
  <c r="H4" i="5"/>
  <c r="R8" i="3"/>
  <c r="U53" i="3"/>
  <c r="E9" i="5"/>
  <c r="K4" i="5"/>
  <c r="R54" i="3" l="1"/>
  <c r="U54" i="3"/>
  <c r="J8" i="3"/>
  <c r="J12" i="3" s="1"/>
  <c r="J9" i="3"/>
  <c r="J18" i="3"/>
  <c r="J11" i="3"/>
  <c r="J10" i="3"/>
  <c r="J14" i="3"/>
  <c r="J15" i="3"/>
  <c r="R12" i="3"/>
  <c r="R20" i="3" s="1"/>
  <c r="S8" i="3" s="1"/>
  <c r="S12" i="3" s="1"/>
  <c r="K9" i="5"/>
  <c r="O12" i="3"/>
  <c r="O20" i="3" s="1"/>
  <c r="P8" i="3" s="1"/>
  <c r="P12" i="3" s="1"/>
  <c r="M8" i="3"/>
  <c r="M12" i="3" s="1"/>
  <c r="M15" i="3"/>
  <c r="M18" i="3"/>
  <c r="M14" i="3"/>
  <c r="M16" i="3" s="1"/>
  <c r="M9" i="3"/>
  <c r="M11" i="3"/>
  <c r="M10" i="3"/>
  <c r="V35" i="3"/>
  <c r="H9" i="5"/>
  <c r="J16" i="3" l="1"/>
  <c r="S9" i="3"/>
  <c r="S18" i="3"/>
  <c r="S14" i="3"/>
  <c r="S16" i="3" s="1"/>
  <c r="S15" i="3"/>
  <c r="S11" i="3"/>
  <c r="S10" i="3"/>
  <c r="U8" i="3"/>
  <c r="V53" i="3"/>
  <c r="V54" i="3" s="1"/>
  <c r="P10" i="3"/>
  <c r="P11" i="3"/>
  <c r="P18" i="3"/>
  <c r="P9" i="3"/>
  <c r="P15" i="3"/>
  <c r="P14" i="3"/>
  <c r="P16" i="3" s="1"/>
  <c r="U12" i="3" l="1"/>
  <c r="U20" i="3" s="1"/>
  <c r="V8" i="3" s="1"/>
  <c r="V12" i="3" s="1"/>
  <c r="V18" i="3" l="1"/>
  <c r="V15" i="3"/>
  <c r="V11" i="3"/>
  <c r="V14" i="3"/>
  <c r="V16" i="3" s="1"/>
  <c r="V10" i="3"/>
  <c r="V9" i="3"/>
  <c r="F26" i="17" l="1"/>
  <c r="D26" i="17" s="1"/>
  <c r="D27" i="17" s="1"/>
  <c r="D28" i="17" l="1"/>
  <c r="F32" i="38" l="1"/>
  <c r="F33" i="38" s="1"/>
  <c r="H32" i="38"/>
  <c r="H33" i="38" s="1"/>
  <c r="K32" i="38"/>
  <c r="I32" i="38"/>
  <c r="I33" i="38" s="1"/>
  <c r="E32" i="38"/>
  <c r="E33" i="38" s="1"/>
  <c r="G32" i="38"/>
  <c r="G33" i="38" s="1"/>
  <c r="J32" i="38"/>
  <c r="J33" i="38" s="1"/>
  <c r="F26" i="29" l="1"/>
  <c r="D26" i="29" s="1"/>
  <c r="F26" i="34" l="1"/>
  <c r="D26" i="34" s="1"/>
  <c r="D14" i="34" l="1"/>
  <c r="E15" i="34"/>
  <c r="D14" i="29"/>
  <c r="E15" i="29"/>
  <c r="E67" i="34" l="1"/>
  <c r="D15" i="34"/>
  <c r="D15" i="29"/>
  <c r="E67" i="29"/>
  <c r="I15" i="34"/>
  <c r="I67" i="34" s="1"/>
  <c r="I71" i="34" s="1"/>
  <c r="I72" i="34" s="1"/>
  <c r="I15" i="29"/>
  <c r="I67" i="29" s="1"/>
  <c r="I71" i="29" s="1"/>
  <c r="I72" i="29" s="1"/>
  <c r="D67" i="29" l="1"/>
  <c r="D71" i="29" s="1"/>
  <c r="E71" i="29"/>
  <c r="E72" i="29" s="1"/>
  <c r="D72" i="29" s="1"/>
  <c r="H15" i="34"/>
  <c r="H67" i="34" s="1"/>
  <c r="H71" i="34" s="1"/>
  <c r="H72" i="34" s="1"/>
  <c r="H15" i="29"/>
  <c r="H67" i="29" s="1"/>
  <c r="H71" i="29" s="1"/>
  <c r="H72" i="29" s="1"/>
  <c r="E71" i="34"/>
  <c r="E72" i="34" s="1"/>
  <c r="D72" i="34" s="1"/>
  <c r="D67" i="34"/>
  <c r="D71" i="34" s="1"/>
  <c r="J15" i="29" l="1"/>
  <c r="J67" i="29" s="1"/>
  <c r="J71" i="29" s="1"/>
  <c r="J72" i="29" s="1"/>
  <c r="J15" i="34"/>
  <c r="J67" i="34" s="1"/>
  <c r="J71" i="34" s="1"/>
  <c r="J72" i="34" s="1"/>
  <c r="G15" i="29"/>
  <c r="G67" i="29" s="1"/>
  <c r="G71" i="29" s="1"/>
  <c r="G72" i="29" s="1"/>
  <c r="G15" i="34"/>
  <c r="G67" i="34" s="1"/>
  <c r="G71" i="34" s="1"/>
  <c r="G72" i="34" s="1"/>
  <c r="F15" i="29" l="1"/>
  <c r="F67" i="29" s="1"/>
  <c r="F71" i="29" s="1"/>
  <c r="F72" i="29" s="1"/>
  <c r="F15" i="34"/>
  <c r="F67" i="34" s="1"/>
  <c r="F71" i="34" s="1"/>
  <c r="F72" i="34" s="1"/>
  <c r="H32" i="17" l="1"/>
  <c r="H33" i="17" s="1"/>
  <c r="G32" i="17"/>
  <c r="G33" i="17" s="1"/>
  <c r="F32" i="17"/>
  <c r="F33" i="17" s="1"/>
  <c r="J32" i="17"/>
  <c r="J33" i="17" s="1"/>
  <c r="I32" i="17"/>
  <c r="I33" i="17" s="1"/>
  <c r="K32" i="17"/>
  <c r="E32" i="17"/>
  <c r="E33" i="17" s="1"/>
  <c r="D30" i="38" l="1"/>
  <c r="K33" i="38"/>
  <c r="D33" i="38" s="1"/>
  <c r="D30" i="17" l="1"/>
  <c r="K33" i="17"/>
  <c r="D33" i="17" s="1"/>
  <c r="D30" i="29" l="1"/>
  <c r="D30" i="34" l="1"/>
  <c r="K15" i="29" l="1"/>
  <c r="K67" i="29" s="1"/>
  <c r="K71" i="29" s="1"/>
  <c r="K72" i="29" s="1"/>
  <c r="K15" i="34"/>
  <c r="K67" i="34" s="1"/>
  <c r="K71" i="34" s="1"/>
  <c r="K72" i="34" s="1"/>
  <c r="D14" i="37" l="1"/>
  <c r="E15" i="37"/>
  <c r="E20" i="37" l="1"/>
  <c r="E21" i="37" s="1"/>
  <c r="E27" i="37"/>
  <c r="E28" i="37" s="1"/>
  <c r="J15" i="37"/>
  <c r="I15" i="37"/>
  <c r="G15" i="37"/>
  <c r="H15" i="37"/>
  <c r="K15" i="37"/>
  <c r="F15" i="37"/>
  <c r="H20" i="37" l="1"/>
  <c r="H21" i="37" s="1"/>
  <c r="H27" i="37"/>
  <c r="H28" i="37" s="1"/>
  <c r="D15" i="37"/>
  <c r="K27" i="37"/>
  <c r="K28" i="37" s="1"/>
  <c r="K20" i="37"/>
  <c r="K21" i="37" s="1"/>
  <c r="G27" i="37"/>
  <c r="G28" i="37" s="1"/>
  <c r="G20" i="37"/>
  <c r="G21" i="37" s="1"/>
  <c r="J20" i="37"/>
  <c r="J21" i="37" s="1"/>
  <c r="J27" i="37"/>
  <c r="J28" i="37" s="1"/>
  <c r="F27" i="37"/>
  <c r="F28" i="37" s="1"/>
  <c r="F20" i="37"/>
  <c r="F21" i="37" s="1"/>
  <c r="I20" i="37"/>
  <c r="I21" i="37" s="1"/>
  <c r="I27" i="37"/>
  <c r="I28" i="37" s="1"/>
  <c r="D14" i="38" l="1"/>
  <c r="G15" i="38" l="1"/>
  <c r="F15" i="38"/>
  <c r="E15" i="38"/>
  <c r="K15" i="38"/>
  <c r="H15" i="38"/>
  <c r="I15" i="38"/>
  <c r="J15" i="38"/>
  <c r="J20" i="38" l="1"/>
  <c r="J21" i="38" s="1"/>
  <c r="J27" i="38"/>
  <c r="J28" i="38" s="1"/>
  <c r="J67" i="38"/>
  <c r="J71" i="38" s="1"/>
  <c r="J72" i="38" s="1"/>
  <c r="D15" i="38"/>
  <c r="E67" i="38"/>
  <c r="E27" i="38"/>
  <c r="E28" i="38" s="1"/>
  <c r="E20" i="38"/>
  <c r="E21" i="38" s="1"/>
  <c r="I67" i="38"/>
  <c r="I71" i="38" s="1"/>
  <c r="I72" i="38" s="1"/>
  <c r="I27" i="38"/>
  <c r="I28" i="38" s="1"/>
  <c r="I20" i="38"/>
  <c r="I21" i="38" s="1"/>
  <c r="F67" i="38"/>
  <c r="F71" i="38" s="1"/>
  <c r="F72" i="38" s="1"/>
  <c r="F27" i="38"/>
  <c r="F28" i="38" s="1"/>
  <c r="F20" i="38"/>
  <c r="F21" i="38" s="1"/>
  <c r="K20" i="38"/>
  <c r="K21" i="38" s="1"/>
  <c r="K27" i="38"/>
  <c r="K28" i="38" s="1"/>
  <c r="K67" i="38"/>
  <c r="K71" i="38" s="1"/>
  <c r="K72" i="38" s="1"/>
  <c r="H20" i="38"/>
  <c r="H21" i="38" s="1"/>
  <c r="H27" i="38"/>
  <c r="H28" i="38" s="1"/>
  <c r="H67" i="38"/>
  <c r="H71" i="38" s="1"/>
  <c r="H72" i="38" s="1"/>
  <c r="G27" i="38"/>
  <c r="G28" i="38" s="1"/>
  <c r="G67" i="38"/>
  <c r="G71" i="38" s="1"/>
  <c r="G72" i="38" s="1"/>
  <c r="G20" i="38"/>
  <c r="G21" i="38" s="1"/>
  <c r="E71" i="38" l="1"/>
  <c r="E72" i="38" s="1"/>
  <c r="D72" i="38" s="1"/>
  <c r="D67" i="38"/>
  <c r="D71" i="38" s="1"/>
  <c r="P42" i="3" l="1"/>
  <c r="AF34" i="3" s="1"/>
  <c r="V13" i="5" l="1"/>
  <c r="V12" i="5"/>
  <c r="P43" i="3" l="1"/>
  <c r="V17" i="5" l="1"/>
  <c r="P49" i="3"/>
  <c r="AF36" i="3" s="1"/>
  <c r="V15" i="5" l="1"/>
  <c r="P45" i="3"/>
  <c r="V21" i="5"/>
  <c r="E14" i="5" s="1"/>
  <c r="R42" i="3"/>
  <c r="AG34" i="3" s="1"/>
  <c r="W12" i="5"/>
  <c r="V19" i="5" l="1"/>
  <c r="W13" i="5"/>
  <c r="R43" i="3"/>
  <c r="E16" i="5"/>
  <c r="P47" i="3"/>
  <c r="P60" i="3"/>
  <c r="P61" i="3" s="1"/>
  <c r="AF35" i="3"/>
  <c r="AF37" i="3" s="1"/>
  <c r="G15" i="17" l="1"/>
  <c r="D14" i="17"/>
  <c r="J15" i="17" s="1"/>
  <c r="K15" i="17"/>
  <c r="E20" i="5"/>
  <c r="F18" i="5" s="1"/>
  <c r="F15" i="17" l="1"/>
  <c r="E15" i="17"/>
  <c r="R49" i="3"/>
  <c r="AG36" i="3" s="1"/>
  <c r="K67" i="17"/>
  <c r="K71" i="17" s="1"/>
  <c r="K72" i="17" s="1"/>
  <c r="K20" i="17"/>
  <c r="K21" i="17" s="1"/>
  <c r="K27" i="17"/>
  <c r="K28" i="17" s="1"/>
  <c r="J20" i="17"/>
  <c r="J21" i="17" s="1"/>
  <c r="J67" i="17"/>
  <c r="J71" i="17" s="1"/>
  <c r="J72" i="17" s="1"/>
  <c r="J27" i="17"/>
  <c r="J28" i="17" s="1"/>
  <c r="E67" i="17"/>
  <c r="E20" i="17"/>
  <c r="E21" i="17" s="1"/>
  <c r="E27" i="17"/>
  <c r="E28" i="17" s="1"/>
  <c r="F67" i="17"/>
  <c r="F71" i="17" s="1"/>
  <c r="F72" i="17" s="1"/>
  <c r="F20" i="17"/>
  <c r="F21" i="17" s="1"/>
  <c r="F27" i="17"/>
  <c r="F28" i="17" s="1"/>
  <c r="G67" i="17"/>
  <c r="G71" i="17" s="1"/>
  <c r="G72" i="17" s="1"/>
  <c r="G20" i="17"/>
  <c r="G21" i="17" s="1"/>
  <c r="G27" i="17"/>
  <c r="G28" i="17" s="1"/>
  <c r="I15" i="17"/>
  <c r="F16" i="5"/>
  <c r="H15" i="17"/>
  <c r="D15" i="17" s="1"/>
  <c r="E71" i="17" l="1"/>
  <c r="E72" i="17" s="1"/>
  <c r="I67" i="17"/>
  <c r="I71" i="17" s="1"/>
  <c r="I72" i="17" s="1"/>
  <c r="I20" i="17"/>
  <c r="I21" i="17" s="1"/>
  <c r="I27" i="17"/>
  <c r="I28" i="17" s="1"/>
  <c r="R45" i="3"/>
  <c r="W15" i="5"/>
  <c r="F14" i="5"/>
  <c r="F5" i="5"/>
  <c r="F4" i="5"/>
  <c r="F6" i="5"/>
  <c r="F8" i="5"/>
  <c r="F11" i="5"/>
  <c r="F12" i="5" s="1"/>
  <c r="F7" i="5"/>
  <c r="H20" i="17"/>
  <c r="H21" i="17" s="1"/>
  <c r="H67" i="17"/>
  <c r="H71" i="17" s="1"/>
  <c r="H72" i="17" s="1"/>
  <c r="H27" i="17"/>
  <c r="H28" i="17" s="1"/>
  <c r="W17" i="5"/>
  <c r="R47" i="3" l="1"/>
  <c r="R60" i="3"/>
  <c r="R61" i="3" s="1"/>
  <c r="AG35" i="3"/>
  <c r="AG37" i="3" s="1"/>
  <c r="W19" i="5"/>
  <c r="D72" i="17"/>
  <c r="W21" i="5"/>
  <c r="H14" i="5" s="1"/>
  <c r="F9" i="5"/>
  <c r="D67" i="17"/>
  <c r="D71" i="17" s="1"/>
  <c r="H16" i="5" l="1"/>
  <c r="S42" i="3" l="1"/>
  <c r="AH34" i="3" s="1"/>
  <c r="X12" i="5"/>
  <c r="H20" i="5"/>
  <c r="I18" i="5" s="1"/>
  <c r="I16" i="5" l="1"/>
  <c r="S43" i="3"/>
  <c r="X13" i="5"/>
  <c r="I7" i="5" l="1"/>
  <c r="I14" i="5"/>
  <c r="I6" i="5"/>
  <c r="I8" i="5"/>
  <c r="I5" i="5"/>
  <c r="I11" i="5"/>
  <c r="I12" i="5" s="1"/>
  <c r="I4" i="5"/>
  <c r="I9" i="5" l="1"/>
  <c r="S49" i="3"/>
  <c r="AH36" i="3" s="1"/>
  <c r="X17" i="5" l="1"/>
  <c r="S45" i="3"/>
  <c r="Y12" i="5"/>
  <c r="U42" i="3"/>
  <c r="AI34" i="3" s="1"/>
  <c r="U43" i="3" l="1"/>
  <c r="S47" i="3"/>
  <c r="S60" i="3"/>
  <c r="S61" i="3" s="1"/>
  <c r="AH35" i="3"/>
  <c r="AH37" i="3" s="1"/>
  <c r="Y13" i="5"/>
  <c r="I32" i="29" l="1"/>
  <c r="I33" i="29" s="1"/>
  <c r="F32" i="29"/>
  <c r="F33" i="29" s="1"/>
  <c r="H32" i="29"/>
  <c r="H33" i="29" s="1"/>
  <c r="J32" i="29"/>
  <c r="J33" i="29" s="1"/>
  <c r="K32" i="29"/>
  <c r="K33" i="29" s="1"/>
  <c r="E32" i="29"/>
  <c r="E33" i="29" s="1"/>
  <c r="G32" i="29"/>
  <c r="G33" i="29" s="1"/>
  <c r="V43" i="3"/>
  <c r="X15" i="5"/>
  <c r="V42" i="3"/>
  <c r="AJ34" i="3" s="1"/>
  <c r="X19" i="5" l="1"/>
  <c r="U49" i="3"/>
  <c r="AI36" i="3" s="1"/>
  <c r="X21" i="5"/>
  <c r="K14" i="5" s="1"/>
  <c r="D33" i="29"/>
  <c r="Y15" i="5" l="1"/>
  <c r="K16" i="5"/>
  <c r="U45" i="3"/>
  <c r="G32" i="34"/>
  <c r="G33" i="34" s="1"/>
  <c r="F32" i="34"/>
  <c r="F33" i="34" s="1"/>
  <c r="I32" i="34"/>
  <c r="I33" i="34" s="1"/>
  <c r="J32" i="34"/>
  <c r="J33" i="34" s="1"/>
  <c r="K32" i="34"/>
  <c r="K33" i="34" s="1"/>
  <c r="E32" i="34"/>
  <c r="E33" i="34" s="1"/>
  <c r="H32" i="34"/>
  <c r="H33" i="34" s="1"/>
  <c r="V49" i="3"/>
  <c r="AJ36" i="3" s="1"/>
  <c r="Y17" i="5" l="1"/>
  <c r="D33" i="34"/>
  <c r="U47" i="3"/>
  <c r="U60" i="3"/>
  <c r="U61" i="3" s="1"/>
  <c r="AI35" i="3"/>
  <c r="AI37" i="3" s="1"/>
  <c r="K20" i="5"/>
  <c r="L18" i="5" s="1"/>
  <c r="L16" i="5" l="1"/>
  <c r="L8" i="5" s="1"/>
  <c r="V45" i="3"/>
  <c r="Y21" i="5"/>
  <c r="N14" i="5" s="1"/>
  <c r="Y19" i="5"/>
  <c r="L7" i="5" l="1"/>
  <c r="L5" i="5"/>
  <c r="L14" i="5"/>
  <c r="L6" i="5"/>
  <c r="L11" i="5"/>
  <c r="L12" i="5" s="1"/>
  <c r="L4" i="5"/>
  <c r="V60" i="3"/>
  <c r="V61" i="3" s="1"/>
  <c r="AJ35" i="3"/>
  <c r="AJ37" i="3" s="1"/>
  <c r="V47" i="3"/>
  <c r="N16" i="5"/>
  <c r="L9" i="5" l="1"/>
  <c r="N20" i="5"/>
  <c r="O18" i="5" s="1"/>
  <c r="D27" i="29"/>
  <c r="O16" i="5" l="1"/>
  <c r="O8" i="5" s="1"/>
  <c r="D20" i="29"/>
  <c r="G27" i="29"/>
  <c r="G28" i="29" s="1"/>
  <c r="K27" i="29"/>
  <c r="K28" i="29" s="1"/>
  <c r="D28" i="29"/>
  <c r="F27" i="29"/>
  <c r="F28" i="29" s="1"/>
  <c r="H27" i="29"/>
  <c r="H28" i="29" s="1"/>
  <c r="I27" i="29"/>
  <c r="I28" i="29" s="1"/>
  <c r="J27" i="29"/>
  <c r="J28" i="29" s="1"/>
  <c r="E27" i="29"/>
  <c r="E28" i="29" s="1"/>
  <c r="O11" i="5" l="1"/>
  <c r="O12" i="5" s="1"/>
  <c r="O5" i="5"/>
  <c r="O14" i="5"/>
  <c r="O6" i="5"/>
  <c r="O7" i="5"/>
  <c r="O4" i="5"/>
  <c r="H20" i="29"/>
  <c r="H21" i="29" s="1"/>
  <c r="F20" i="29"/>
  <c r="F21" i="29" s="1"/>
  <c r="D21" i="29"/>
  <c r="J20" i="29"/>
  <c r="J21" i="29" s="1"/>
  <c r="I20" i="29"/>
  <c r="I21" i="29" s="1"/>
  <c r="E20" i="29"/>
  <c r="E21" i="29" s="1"/>
  <c r="K20" i="29"/>
  <c r="K21" i="29" s="1"/>
  <c r="G20" i="29"/>
  <c r="G21" i="29" s="1"/>
  <c r="O9" i="5" l="1"/>
  <c r="D27" i="34" l="1"/>
  <c r="D28" i="34" l="1"/>
  <c r="I27" i="34"/>
  <c r="I28" i="34" s="1"/>
  <c r="F27" i="34"/>
  <c r="F28" i="34" s="1"/>
  <c r="J27" i="34"/>
  <c r="J28" i="34" s="1"/>
  <c r="K27" i="34"/>
  <c r="K28" i="34" s="1"/>
  <c r="E27" i="34"/>
  <c r="E28" i="34" s="1"/>
  <c r="H27" i="34"/>
  <c r="H28" i="34" s="1"/>
  <c r="G27" i="34"/>
  <c r="G28" i="34" s="1"/>
  <c r="D20" i="34"/>
  <c r="K20" i="34" l="1"/>
  <c r="K21" i="34" s="1"/>
  <c r="J20" i="34"/>
  <c r="J21" i="34" s="1"/>
  <c r="E20" i="34"/>
  <c r="E21" i="34" s="1"/>
  <c r="I20" i="34"/>
  <c r="I21" i="34" s="1"/>
  <c r="G20" i="34"/>
  <c r="G21" i="34" s="1"/>
  <c r="H20" i="34"/>
  <c r="H21" i="34" s="1"/>
  <c r="F20" i="34"/>
  <c r="F21" i="34" s="1"/>
  <c r="D21" i="34"/>
</calcChain>
</file>

<file path=xl/comments1.xml><?xml version="1.0" encoding="utf-8"?>
<comments xmlns="http://schemas.openxmlformats.org/spreadsheetml/2006/main">
  <authors>
    <author>BPA User</author>
  </authors>
  <commentList>
    <comment ref="D25" authorId="0" shapeId="0">
      <text>
        <r>
          <rPr>
            <b/>
            <sz val="9"/>
            <color indexed="81"/>
            <rFont val="Tahoma"/>
            <family val="2"/>
          </rPr>
          <t>Link to Plant Investment File</t>
        </r>
      </text>
    </comment>
  </commentList>
</comments>
</file>

<file path=xl/comments2.xml><?xml version="1.0" encoding="utf-8"?>
<comments xmlns="http://schemas.openxmlformats.org/spreadsheetml/2006/main">
  <authors>
    <author>Stephanie Adams</author>
    <author>BPA User</author>
  </authors>
  <commentList>
    <comment ref="F38" authorId="0" shapeId="0">
      <text>
        <r>
          <rPr>
            <b/>
            <sz val="9"/>
            <color indexed="81"/>
            <rFont val="Tahoma"/>
            <family val="2"/>
          </rPr>
          <t>Stephanie Adams:</t>
        </r>
        <r>
          <rPr>
            <sz val="9"/>
            <color indexed="81"/>
            <rFont val="Tahoma"/>
            <family val="2"/>
          </rPr>
          <t xml:space="preserve">
Updated to reflect Errata, increase in Acq. And Ancil. From GM Comparison</t>
        </r>
      </text>
    </comment>
    <comment ref="F42" authorId="1" shapeId="0">
      <text>
        <r>
          <rPr>
            <b/>
            <sz val="9"/>
            <color indexed="81"/>
            <rFont val="Tahoma"/>
            <family val="2"/>
          </rPr>
          <t>Link to Plant Investment File</t>
        </r>
      </text>
    </comment>
  </commentList>
</comments>
</file>

<file path=xl/comments3.xml><?xml version="1.0" encoding="utf-8"?>
<comments xmlns="http://schemas.openxmlformats.org/spreadsheetml/2006/main">
  <authors>
    <author>Michael D. Edwards</author>
  </authors>
  <commentList>
    <comment ref="U10" authorId="0" shapeId="0">
      <text>
        <r>
          <rPr>
            <b/>
            <sz val="9"/>
            <color indexed="81"/>
            <rFont val="Tahoma"/>
            <family val="2"/>
          </rPr>
          <t>Michael D. Edwards:</t>
        </r>
        <r>
          <rPr>
            <sz val="9"/>
            <color indexed="81"/>
            <rFont val="Tahoma"/>
            <family val="2"/>
          </rPr>
          <t xml:space="preserve">
At least partly revenue financing ($29 MM)</t>
        </r>
      </text>
    </comment>
  </commentList>
</comments>
</file>

<file path=xl/comments4.xml><?xml version="1.0" encoding="utf-8"?>
<comments xmlns="http://schemas.openxmlformats.org/spreadsheetml/2006/main">
  <authors>
    <author>Miranda Gestrin</author>
    <author>Stephanie Adams</author>
    <author>BPA User</author>
  </authors>
  <commentList>
    <comment ref="G25" authorId="0" shapeId="0">
      <text>
        <r>
          <rPr>
            <b/>
            <sz val="9"/>
            <color indexed="81"/>
            <rFont val="Tahoma"/>
            <family val="2"/>
          </rPr>
          <t>Miranda Gestrin:</t>
        </r>
        <r>
          <rPr>
            <sz val="9"/>
            <color indexed="81"/>
            <rFont val="Tahoma"/>
            <family val="2"/>
          </rPr>
          <t xml:space="preserve">
COI depreciation (Southern Intertie) hardcoded for FY 2018 &amp; FY 2019 to BP-18 FP as COI is repaid in FY 2019 and it will no longer have an adjustment within the model moving forward</t>
        </r>
      </text>
    </comment>
    <comment ref="F30" authorId="1" shapeId="0">
      <text>
        <r>
          <rPr>
            <b/>
            <sz val="9"/>
            <color indexed="81"/>
            <rFont val="Tahoma"/>
            <family val="2"/>
          </rPr>
          <t>Stephanie Adams:</t>
        </r>
        <r>
          <rPr>
            <sz val="9"/>
            <color indexed="81"/>
            <rFont val="Tahoma"/>
            <family val="2"/>
          </rPr>
          <t xml:space="preserve">
Picks up network depreciation for lines and subs, network intangibles and entire reg asset.
</t>
        </r>
      </text>
    </comment>
    <comment ref="G30" authorId="1" shapeId="0">
      <text>
        <r>
          <rPr>
            <b/>
            <sz val="9"/>
            <color indexed="81"/>
            <rFont val="Tahoma"/>
            <family val="2"/>
          </rPr>
          <t>Stephanie Adams:</t>
        </r>
        <r>
          <rPr>
            <sz val="9"/>
            <color indexed="81"/>
            <rFont val="Tahoma"/>
            <family val="2"/>
          </rPr>
          <t xml:space="preserve">
Pick up Southern Intertie Intangible
</t>
        </r>
      </text>
    </comment>
    <comment ref="D41" authorId="1" shapeId="0">
      <text>
        <r>
          <rPr>
            <b/>
            <sz val="9"/>
            <color indexed="81"/>
            <rFont val="Tahoma"/>
            <family val="2"/>
          </rPr>
          <t>Stephanie Adams / edits by Miranda Gestrin:</t>
        </r>
        <r>
          <rPr>
            <sz val="9"/>
            <color indexed="81"/>
            <rFont val="Tahoma"/>
            <family val="2"/>
          </rPr>
          <t xml:space="preserve">
Picks up all system operation, technical operations components are backed out and assigned to AS. Oversupply admin costs are backed out of Technical Ops and picked up here. TOP contracts (Transmission Operator) are directly assigned to the network and are excluded here. With the movement of costs, the remainder in this bucket should be substation operations and oversupply admin costs. </t>
        </r>
      </text>
    </comment>
    <comment ref="F41" authorId="0" shapeId="0">
      <text>
        <r>
          <rPr>
            <b/>
            <sz val="9"/>
            <color indexed="81"/>
            <rFont val="Tahoma"/>
            <family val="2"/>
          </rPr>
          <t>Miranda Gestrin:</t>
        </r>
        <r>
          <rPr>
            <sz val="9"/>
            <color indexed="81"/>
            <rFont val="Tahoma"/>
            <family val="2"/>
          </rPr>
          <t xml:space="preserve">
TOP Contracts directly assigned to Network (Separate node within System Operations bucket)</t>
        </r>
      </text>
    </comment>
    <comment ref="K41" authorId="0" shapeId="0">
      <text>
        <r>
          <rPr>
            <b/>
            <sz val="9"/>
            <color indexed="81"/>
            <rFont val="Tahoma"/>
            <family val="2"/>
          </rPr>
          <t>Miranda Gestrin:</t>
        </r>
        <r>
          <rPr>
            <sz val="9"/>
            <color indexed="81"/>
            <rFont val="Tahoma"/>
            <family val="2"/>
          </rPr>
          <t xml:space="preserve">
Back out oversupply admin from technical operations, as oversupply admin is an unsegmented cost.</t>
        </r>
      </text>
    </comment>
    <comment ref="M41" authorId="0" shapeId="0">
      <text>
        <r>
          <rPr>
            <b/>
            <sz val="9"/>
            <color indexed="81"/>
            <rFont val="Tahoma"/>
            <family val="2"/>
          </rPr>
          <t>Miranda Gestrin:</t>
        </r>
        <r>
          <rPr>
            <sz val="9"/>
            <color indexed="81"/>
            <rFont val="Tahoma"/>
            <family val="2"/>
          </rPr>
          <t xml:space="preserve">
From prior data structure, have to back out the TOP contracts to create the view for 2018/2019. Moving forward, TOP contracts do not need to be backed out of Tech Ops, because they are now separated into their own line item.</t>
        </r>
      </text>
    </comment>
    <comment ref="K53" authorId="2" shapeId="0">
      <text>
        <r>
          <rPr>
            <b/>
            <sz val="9"/>
            <color indexed="81"/>
            <rFont val="Tahoma"/>
            <family val="2"/>
          </rPr>
          <t>BPA User:</t>
        </r>
        <r>
          <rPr>
            <sz val="9"/>
            <color indexed="81"/>
            <rFont val="Tahoma"/>
            <family val="2"/>
          </rPr>
          <t xml:space="preserve">
Hardcode adjustment for WECC PEAK Cost
</t>
        </r>
      </text>
    </comment>
    <comment ref="F59" authorId="2" shapeId="0">
      <text>
        <r>
          <rPr>
            <b/>
            <sz val="9"/>
            <color indexed="81"/>
            <rFont val="Tahoma"/>
            <family val="2"/>
          </rPr>
          <t>BPA User:</t>
        </r>
        <r>
          <rPr>
            <sz val="9"/>
            <color indexed="81"/>
            <rFont val="Tahoma"/>
            <family val="2"/>
          </rPr>
          <t xml:space="preserve">
Percentage from Power Info from Alex</t>
        </r>
      </text>
    </comment>
    <comment ref="I59" authorId="2" shapeId="0">
      <text>
        <r>
          <rPr>
            <b/>
            <sz val="9"/>
            <color indexed="81"/>
            <rFont val="Tahoma"/>
            <family val="2"/>
          </rPr>
          <t>BPA User:</t>
        </r>
        <r>
          <rPr>
            <sz val="9"/>
            <color indexed="81"/>
            <rFont val="Tahoma"/>
            <family val="2"/>
          </rPr>
          <t xml:space="preserve">
Percentage from Power Info from Alex</t>
        </r>
      </text>
    </comment>
    <comment ref="G62" authorId="1" shapeId="0">
      <text>
        <r>
          <rPr>
            <b/>
            <sz val="9"/>
            <color indexed="81"/>
            <rFont val="Tahoma"/>
            <family val="2"/>
          </rPr>
          <t>Stephanie Adams:</t>
        </r>
        <r>
          <rPr>
            <sz val="9"/>
            <color indexed="81"/>
            <rFont val="Tahoma"/>
            <family val="2"/>
          </rPr>
          <t xml:space="preserve">
From Gen Inputs/Alex Tbl 4.1-4.3</t>
        </r>
      </text>
    </comment>
    <comment ref="A67" authorId="1" shapeId="0">
      <text>
        <r>
          <rPr>
            <b/>
            <sz val="9"/>
            <color indexed="81"/>
            <rFont val="Tahoma"/>
            <family val="2"/>
          </rPr>
          <t>Stephanie Adams:</t>
        </r>
        <r>
          <rPr>
            <sz val="9"/>
            <color indexed="81"/>
            <rFont val="Tahoma"/>
            <family val="2"/>
          </rPr>
          <t xml:space="preserve">
Based on net plant allocation</t>
        </r>
      </text>
    </comment>
    <comment ref="K67" authorId="0" shapeId="0">
      <text>
        <r>
          <rPr>
            <b/>
            <sz val="9"/>
            <color indexed="81"/>
            <rFont val="Tahoma"/>
            <family val="2"/>
          </rPr>
          <t>Miranda Gestrin:</t>
        </r>
        <r>
          <rPr>
            <sz val="9"/>
            <color indexed="81"/>
            <rFont val="Tahoma"/>
            <family val="2"/>
          </rPr>
          <t xml:space="preserve">
This picks up Gen Inputs Settlement Addition, when applicable. Settlement Addition is for 3PS Acquisition</t>
        </r>
      </text>
    </comment>
  </commentList>
</comments>
</file>

<file path=xl/comments5.xml><?xml version="1.0" encoding="utf-8"?>
<comments xmlns="http://schemas.openxmlformats.org/spreadsheetml/2006/main">
  <authors>
    <author>Miranda Gestrin</author>
    <author>Stephanie Adams</author>
    <author>BPA User</author>
  </authors>
  <commentList>
    <comment ref="G25" authorId="0" shapeId="0">
      <text>
        <r>
          <rPr>
            <b/>
            <sz val="9"/>
            <color indexed="81"/>
            <rFont val="Tahoma"/>
            <family val="2"/>
          </rPr>
          <t>Miranda Gestrin:</t>
        </r>
        <r>
          <rPr>
            <sz val="9"/>
            <color indexed="81"/>
            <rFont val="Tahoma"/>
            <family val="2"/>
          </rPr>
          <t xml:space="preserve">
COI depreciation (Southern Intertie) hardcoded for FY 2018 &amp; FY 2019 to BP-18 FP as COI is repaid in FY 2019 and it will no longer have an adjustment within the model moving forward</t>
        </r>
      </text>
    </comment>
    <comment ref="F30" authorId="1" shapeId="0">
      <text>
        <r>
          <rPr>
            <b/>
            <sz val="9"/>
            <color indexed="81"/>
            <rFont val="Tahoma"/>
            <family val="2"/>
          </rPr>
          <t>Stephanie Adams:</t>
        </r>
        <r>
          <rPr>
            <sz val="9"/>
            <color indexed="81"/>
            <rFont val="Tahoma"/>
            <family val="2"/>
          </rPr>
          <t xml:space="preserve">
Picks up network depreciation for lines and subs, network intangibles and entire reg asset.
</t>
        </r>
      </text>
    </comment>
    <comment ref="G30" authorId="1" shapeId="0">
      <text>
        <r>
          <rPr>
            <b/>
            <sz val="9"/>
            <color indexed="81"/>
            <rFont val="Tahoma"/>
            <family val="2"/>
          </rPr>
          <t>Stephanie Adams:</t>
        </r>
        <r>
          <rPr>
            <sz val="9"/>
            <color indexed="81"/>
            <rFont val="Tahoma"/>
            <family val="2"/>
          </rPr>
          <t xml:space="preserve">
Pick up Southern Intertie Intangible
</t>
        </r>
      </text>
    </comment>
    <comment ref="D41" authorId="1" shapeId="0">
      <text>
        <r>
          <rPr>
            <b/>
            <sz val="9"/>
            <color indexed="81"/>
            <rFont val="Tahoma"/>
            <family val="2"/>
          </rPr>
          <t>Stephanie Adams / edits by Miranda Gestrin:</t>
        </r>
        <r>
          <rPr>
            <sz val="9"/>
            <color indexed="81"/>
            <rFont val="Tahoma"/>
            <family val="2"/>
          </rPr>
          <t xml:space="preserve">
Picks up all system operation, technical operations components are backed out and assigned to AS. Oversupply admin costs are backed out of Technical Ops and picked up here. TOP contracts (Transmission Operator) are directly assigned to the network and are excluded here. With the movement of costs, the remainder in this bucket should be substation operations and oversupply admin costs. </t>
        </r>
      </text>
    </comment>
    <comment ref="F41" authorId="0" shapeId="0">
      <text>
        <r>
          <rPr>
            <b/>
            <sz val="9"/>
            <color indexed="81"/>
            <rFont val="Tahoma"/>
            <family val="2"/>
          </rPr>
          <t>Miranda Gestrin:</t>
        </r>
        <r>
          <rPr>
            <sz val="9"/>
            <color indexed="81"/>
            <rFont val="Tahoma"/>
            <family val="2"/>
          </rPr>
          <t xml:space="preserve">
TOP Contracts directly assigned to Network (Separate node within System Operations bucket)</t>
        </r>
      </text>
    </comment>
    <comment ref="K41" authorId="0" shapeId="0">
      <text>
        <r>
          <rPr>
            <b/>
            <sz val="9"/>
            <color indexed="81"/>
            <rFont val="Tahoma"/>
            <family val="2"/>
          </rPr>
          <t>Miranda Gestrin:</t>
        </r>
        <r>
          <rPr>
            <sz val="9"/>
            <color indexed="81"/>
            <rFont val="Tahoma"/>
            <family val="2"/>
          </rPr>
          <t xml:space="preserve">
Back out oversupply admin from technical operations, as oversupply admin is an unsegmented cost.</t>
        </r>
      </text>
    </comment>
    <comment ref="L41" authorId="0" shapeId="0">
      <text>
        <r>
          <rPr>
            <b/>
            <sz val="9"/>
            <color indexed="81"/>
            <rFont val="Tahoma"/>
            <family val="2"/>
          </rPr>
          <t>Miranda Gestrin:</t>
        </r>
        <r>
          <rPr>
            <sz val="9"/>
            <color indexed="81"/>
            <rFont val="Tahoma"/>
            <family val="2"/>
          </rPr>
          <t xml:space="preserve">
From prior data structure, have to back out the TOP contracts to create the view for 2018/2019. Moving forward, TOP contracts do not need to be backed out of Tech Ops, because they are now separated into their own line item.</t>
        </r>
      </text>
    </comment>
    <comment ref="K53" authorId="2" shapeId="0">
      <text>
        <r>
          <rPr>
            <b/>
            <sz val="9"/>
            <color indexed="81"/>
            <rFont val="Tahoma"/>
            <family val="2"/>
          </rPr>
          <t>BPA User:</t>
        </r>
        <r>
          <rPr>
            <sz val="9"/>
            <color indexed="81"/>
            <rFont val="Tahoma"/>
            <family val="2"/>
          </rPr>
          <t xml:space="preserve">
Hardcode adjustment for WECC PEAK Cost
</t>
        </r>
      </text>
    </comment>
    <comment ref="F59" authorId="2" shapeId="0">
      <text>
        <r>
          <rPr>
            <b/>
            <sz val="9"/>
            <color indexed="81"/>
            <rFont val="Tahoma"/>
            <family val="2"/>
          </rPr>
          <t>BPA User:</t>
        </r>
        <r>
          <rPr>
            <sz val="9"/>
            <color indexed="81"/>
            <rFont val="Tahoma"/>
            <family val="2"/>
          </rPr>
          <t xml:space="preserve">
Percentage from Power Info from Alex</t>
        </r>
      </text>
    </comment>
    <comment ref="I59" authorId="2" shapeId="0">
      <text>
        <r>
          <rPr>
            <b/>
            <sz val="9"/>
            <color indexed="81"/>
            <rFont val="Tahoma"/>
            <family val="2"/>
          </rPr>
          <t>BPA User:</t>
        </r>
        <r>
          <rPr>
            <sz val="9"/>
            <color indexed="81"/>
            <rFont val="Tahoma"/>
            <family val="2"/>
          </rPr>
          <t xml:space="preserve">
Percentage from Power Info from Alex</t>
        </r>
      </text>
    </comment>
    <comment ref="G62" authorId="1" shapeId="0">
      <text>
        <r>
          <rPr>
            <b/>
            <sz val="9"/>
            <color indexed="81"/>
            <rFont val="Tahoma"/>
            <family val="2"/>
          </rPr>
          <t>Stephanie Adams:</t>
        </r>
        <r>
          <rPr>
            <sz val="9"/>
            <color indexed="81"/>
            <rFont val="Tahoma"/>
            <family val="2"/>
          </rPr>
          <t xml:space="preserve">
From Gen Inputs/Alex Tbl 4.1-4.3</t>
        </r>
      </text>
    </comment>
    <comment ref="A67" authorId="1" shapeId="0">
      <text>
        <r>
          <rPr>
            <b/>
            <sz val="9"/>
            <color indexed="81"/>
            <rFont val="Tahoma"/>
            <family val="2"/>
          </rPr>
          <t>Stephanie Adams:</t>
        </r>
        <r>
          <rPr>
            <sz val="9"/>
            <color indexed="81"/>
            <rFont val="Tahoma"/>
            <family val="2"/>
          </rPr>
          <t xml:space="preserve">
Based on net plant allocation</t>
        </r>
      </text>
    </comment>
    <comment ref="K67" authorId="0" shapeId="0">
      <text>
        <r>
          <rPr>
            <b/>
            <sz val="9"/>
            <color indexed="81"/>
            <rFont val="Tahoma"/>
            <family val="2"/>
          </rPr>
          <t>Miranda Gestrin:</t>
        </r>
        <r>
          <rPr>
            <sz val="9"/>
            <color indexed="81"/>
            <rFont val="Tahoma"/>
            <family val="2"/>
          </rPr>
          <t xml:space="preserve">
This picks up Gen Inputs Settlement Addition, when applicable. Settlement Addition is for 3PS Acquisition</t>
        </r>
      </text>
    </comment>
  </commentList>
</comments>
</file>

<file path=xl/comments6.xml><?xml version="1.0" encoding="utf-8"?>
<comments xmlns="http://schemas.openxmlformats.org/spreadsheetml/2006/main">
  <authors>
    <author>Stephanie Adams</author>
    <author>Miranda Gestrin</author>
    <author>BPA User</author>
  </authors>
  <commentList>
    <comment ref="F30" authorId="0" shapeId="0">
      <text>
        <r>
          <rPr>
            <b/>
            <sz val="9"/>
            <color indexed="81"/>
            <rFont val="Tahoma"/>
            <family val="2"/>
          </rPr>
          <t>Stephanie Adams:</t>
        </r>
        <r>
          <rPr>
            <sz val="9"/>
            <color indexed="81"/>
            <rFont val="Tahoma"/>
            <family val="2"/>
          </rPr>
          <t xml:space="preserve">
Picks up network depreciation for lines and subs, network intangibles and entire reg asset.
</t>
        </r>
      </text>
    </comment>
    <comment ref="G30" authorId="0" shapeId="0">
      <text>
        <r>
          <rPr>
            <b/>
            <sz val="9"/>
            <color indexed="81"/>
            <rFont val="Tahoma"/>
            <family val="2"/>
          </rPr>
          <t>Stephanie Adams:</t>
        </r>
        <r>
          <rPr>
            <sz val="9"/>
            <color indexed="81"/>
            <rFont val="Tahoma"/>
            <family val="2"/>
          </rPr>
          <t xml:space="preserve">
Pick up Southern Intertie Intangible
</t>
        </r>
      </text>
    </comment>
    <comment ref="D41" authorId="0" shapeId="0">
      <text>
        <r>
          <rPr>
            <b/>
            <sz val="9"/>
            <color indexed="81"/>
            <rFont val="Tahoma"/>
            <family val="2"/>
          </rPr>
          <t>Stephanie Adams / edits by Miranda Gestrin:</t>
        </r>
        <r>
          <rPr>
            <sz val="9"/>
            <color indexed="81"/>
            <rFont val="Tahoma"/>
            <family val="2"/>
          </rPr>
          <t xml:space="preserve">
Picks up all system operation, technical operations components are backed out and assigned to AS. Oversupply admin costs are backed out of Technical Ops and picked up here. TOP contracts (Transmission Operator) are directly assigned to the network and are excluded here. With the movement of costs, the remainder in this bucket should be substation operations and oversupply admin costs. </t>
        </r>
      </text>
    </comment>
    <comment ref="F41" authorId="1" shapeId="0">
      <text>
        <r>
          <rPr>
            <b/>
            <sz val="9"/>
            <color indexed="81"/>
            <rFont val="Tahoma"/>
            <family val="2"/>
          </rPr>
          <t>Miranda Gestrin:</t>
        </r>
        <r>
          <rPr>
            <sz val="9"/>
            <color indexed="81"/>
            <rFont val="Tahoma"/>
            <family val="2"/>
          </rPr>
          <t xml:space="preserve">
TOP Contracts directly assigned to Network (Separate node within System Operations bucket)</t>
        </r>
      </text>
    </comment>
    <comment ref="K41" authorId="1" shapeId="0">
      <text>
        <r>
          <rPr>
            <b/>
            <sz val="9"/>
            <color indexed="81"/>
            <rFont val="Tahoma"/>
            <family val="2"/>
          </rPr>
          <t>Miranda Gestrin:</t>
        </r>
        <r>
          <rPr>
            <sz val="9"/>
            <color indexed="81"/>
            <rFont val="Tahoma"/>
            <family val="2"/>
          </rPr>
          <t xml:space="preserve">
Back out oversupply admin from technical operations, as oversupply admin is an unsegmented cost.</t>
        </r>
      </text>
    </comment>
    <comment ref="K53" authorId="2" shapeId="0">
      <text>
        <r>
          <rPr>
            <b/>
            <sz val="9"/>
            <color indexed="81"/>
            <rFont val="Tahoma"/>
            <family val="2"/>
          </rPr>
          <t>BPA User:</t>
        </r>
        <r>
          <rPr>
            <sz val="9"/>
            <color indexed="81"/>
            <rFont val="Tahoma"/>
            <family val="2"/>
          </rPr>
          <t xml:space="preserve">
Hardcode adjustment for WECC PEAK Cost
</t>
        </r>
      </text>
    </comment>
    <comment ref="F59" authorId="2" shapeId="0">
      <text>
        <r>
          <rPr>
            <b/>
            <sz val="9"/>
            <color indexed="81"/>
            <rFont val="Tahoma"/>
            <family val="2"/>
          </rPr>
          <t>BPA User:</t>
        </r>
        <r>
          <rPr>
            <sz val="9"/>
            <color indexed="81"/>
            <rFont val="Tahoma"/>
            <family val="2"/>
          </rPr>
          <t xml:space="preserve">
Percentage from Power Info from Alex</t>
        </r>
      </text>
    </comment>
    <comment ref="I59" authorId="2" shapeId="0">
      <text>
        <r>
          <rPr>
            <b/>
            <sz val="9"/>
            <color indexed="81"/>
            <rFont val="Tahoma"/>
            <family val="2"/>
          </rPr>
          <t>BPA User:</t>
        </r>
        <r>
          <rPr>
            <sz val="9"/>
            <color indexed="81"/>
            <rFont val="Tahoma"/>
            <family val="2"/>
          </rPr>
          <t xml:space="preserve">
Percentage from Power Info from Alex</t>
        </r>
      </text>
    </comment>
    <comment ref="G62" authorId="0" shapeId="0">
      <text>
        <r>
          <rPr>
            <b/>
            <sz val="9"/>
            <color indexed="81"/>
            <rFont val="Tahoma"/>
            <family val="2"/>
          </rPr>
          <t>Stephanie Adams:</t>
        </r>
        <r>
          <rPr>
            <sz val="9"/>
            <color indexed="81"/>
            <rFont val="Tahoma"/>
            <family val="2"/>
          </rPr>
          <t xml:space="preserve">
From Gen Inputs/Alex Tbl 4.1-4.3</t>
        </r>
      </text>
    </comment>
    <comment ref="A67" authorId="0" shapeId="0">
      <text>
        <r>
          <rPr>
            <b/>
            <sz val="9"/>
            <color indexed="81"/>
            <rFont val="Tahoma"/>
            <family val="2"/>
          </rPr>
          <t>Stephanie Adams:</t>
        </r>
        <r>
          <rPr>
            <sz val="9"/>
            <color indexed="81"/>
            <rFont val="Tahoma"/>
            <family val="2"/>
          </rPr>
          <t xml:space="preserve">
Based on net plant allocation</t>
        </r>
      </text>
    </comment>
    <comment ref="K67" authorId="1" shapeId="0">
      <text>
        <r>
          <rPr>
            <b/>
            <sz val="9"/>
            <color indexed="81"/>
            <rFont val="Tahoma"/>
            <family val="2"/>
          </rPr>
          <t>Miranda Gestrin:</t>
        </r>
        <r>
          <rPr>
            <sz val="9"/>
            <color indexed="81"/>
            <rFont val="Tahoma"/>
            <family val="2"/>
          </rPr>
          <t xml:space="preserve">
This picks up Gen Inputs Settlement Addition, when applicable. Settlement Addition is for 3PS Acquisition</t>
        </r>
      </text>
    </comment>
  </commentList>
</comments>
</file>

<file path=xl/comments7.xml><?xml version="1.0" encoding="utf-8"?>
<comments xmlns="http://schemas.openxmlformats.org/spreadsheetml/2006/main">
  <authors>
    <author>Stephanie Adams</author>
    <author>Miranda Gestrin</author>
    <author>BPA User</author>
  </authors>
  <commentList>
    <comment ref="F30" authorId="0" shapeId="0">
      <text>
        <r>
          <rPr>
            <b/>
            <sz val="9"/>
            <color indexed="81"/>
            <rFont val="Tahoma"/>
            <family val="2"/>
          </rPr>
          <t>Stephanie Adams:</t>
        </r>
        <r>
          <rPr>
            <sz val="9"/>
            <color indexed="81"/>
            <rFont val="Tahoma"/>
            <family val="2"/>
          </rPr>
          <t xml:space="preserve">
Picks up network depreciation for lines and subs, network intangibles and entire reg asset.
</t>
        </r>
      </text>
    </comment>
    <comment ref="G30" authorId="0" shapeId="0">
      <text>
        <r>
          <rPr>
            <b/>
            <sz val="9"/>
            <color indexed="81"/>
            <rFont val="Tahoma"/>
            <family val="2"/>
          </rPr>
          <t>Stephanie Adams:</t>
        </r>
        <r>
          <rPr>
            <sz val="9"/>
            <color indexed="81"/>
            <rFont val="Tahoma"/>
            <family val="2"/>
          </rPr>
          <t xml:space="preserve">
Pick up Southern Intertie Intangible
</t>
        </r>
      </text>
    </comment>
    <comment ref="D41" authorId="0" shapeId="0">
      <text>
        <r>
          <rPr>
            <b/>
            <sz val="9"/>
            <color indexed="81"/>
            <rFont val="Tahoma"/>
            <family val="2"/>
          </rPr>
          <t>Stephanie Adams / edits by Miranda Gestrin:</t>
        </r>
        <r>
          <rPr>
            <sz val="9"/>
            <color indexed="81"/>
            <rFont val="Tahoma"/>
            <family val="2"/>
          </rPr>
          <t xml:space="preserve">
Picks up all system operation, technical operations components are backed out and assigned to AS. Oversupply admin costs are backed out of Technical Ops and picked up here. TOP contracts (Transmission Operator) are directly assigned to the network and are excluded here. With the movement of costs, the remainder in this bucket should be substation operations and oversupply admin costs. </t>
        </r>
      </text>
    </comment>
    <comment ref="F41" authorId="1" shapeId="0">
      <text>
        <r>
          <rPr>
            <b/>
            <sz val="9"/>
            <color indexed="81"/>
            <rFont val="Tahoma"/>
            <family val="2"/>
          </rPr>
          <t>Miranda Gestrin:</t>
        </r>
        <r>
          <rPr>
            <sz val="9"/>
            <color indexed="81"/>
            <rFont val="Tahoma"/>
            <family val="2"/>
          </rPr>
          <t xml:space="preserve">
TOP Contracts directly assigned to Network (Separate node within System Operations bucket)</t>
        </r>
      </text>
    </comment>
    <comment ref="K41" authorId="1" shapeId="0">
      <text>
        <r>
          <rPr>
            <b/>
            <sz val="9"/>
            <color indexed="81"/>
            <rFont val="Tahoma"/>
            <family val="2"/>
          </rPr>
          <t>Miranda Gestrin:</t>
        </r>
        <r>
          <rPr>
            <sz val="9"/>
            <color indexed="81"/>
            <rFont val="Tahoma"/>
            <family val="2"/>
          </rPr>
          <t xml:space="preserve">
Back out oversupply admin from technical operations, as oversupply admin is an unsegmented cost.</t>
        </r>
      </text>
    </comment>
    <comment ref="K53" authorId="2" shapeId="0">
      <text>
        <r>
          <rPr>
            <b/>
            <sz val="9"/>
            <color indexed="81"/>
            <rFont val="Tahoma"/>
            <family val="2"/>
          </rPr>
          <t>BPA User:</t>
        </r>
        <r>
          <rPr>
            <sz val="9"/>
            <color indexed="81"/>
            <rFont val="Tahoma"/>
            <family val="2"/>
          </rPr>
          <t xml:space="preserve">
Hardcode adjustment for WECC PEAK Cost
</t>
        </r>
      </text>
    </comment>
    <comment ref="F59" authorId="2" shapeId="0">
      <text>
        <r>
          <rPr>
            <b/>
            <sz val="9"/>
            <color indexed="81"/>
            <rFont val="Tahoma"/>
            <family val="2"/>
          </rPr>
          <t>BPA User:</t>
        </r>
        <r>
          <rPr>
            <sz val="9"/>
            <color indexed="81"/>
            <rFont val="Tahoma"/>
            <family val="2"/>
          </rPr>
          <t xml:space="preserve">
Percentage from Power Info from Alex</t>
        </r>
      </text>
    </comment>
    <comment ref="I59" authorId="2" shapeId="0">
      <text>
        <r>
          <rPr>
            <b/>
            <sz val="9"/>
            <color indexed="81"/>
            <rFont val="Tahoma"/>
            <family val="2"/>
          </rPr>
          <t>BPA User:</t>
        </r>
        <r>
          <rPr>
            <sz val="9"/>
            <color indexed="81"/>
            <rFont val="Tahoma"/>
            <family val="2"/>
          </rPr>
          <t xml:space="preserve">
Percentage from Power Info from Alex</t>
        </r>
      </text>
    </comment>
    <comment ref="G62" authorId="0" shapeId="0">
      <text>
        <r>
          <rPr>
            <b/>
            <sz val="9"/>
            <color indexed="81"/>
            <rFont val="Tahoma"/>
            <family val="2"/>
          </rPr>
          <t>Stephanie Adams:</t>
        </r>
        <r>
          <rPr>
            <sz val="9"/>
            <color indexed="81"/>
            <rFont val="Tahoma"/>
            <family val="2"/>
          </rPr>
          <t xml:space="preserve">
From Gen Inputs/Alex Tbl 4.1-4.3</t>
        </r>
      </text>
    </comment>
    <comment ref="A67" authorId="0" shapeId="0">
      <text>
        <r>
          <rPr>
            <b/>
            <sz val="9"/>
            <color indexed="81"/>
            <rFont val="Tahoma"/>
            <family val="2"/>
          </rPr>
          <t>Stephanie Adams:</t>
        </r>
        <r>
          <rPr>
            <sz val="9"/>
            <color indexed="81"/>
            <rFont val="Tahoma"/>
            <family val="2"/>
          </rPr>
          <t xml:space="preserve">
Based on net plant allocation</t>
        </r>
      </text>
    </comment>
    <comment ref="K67" authorId="1" shapeId="0">
      <text>
        <r>
          <rPr>
            <b/>
            <sz val="9"/>
            <color indexed="81"/>
            <rFont val="Tahoma"/>
            <family val="2"/>
          </rPr>
          <t>Miranda Gestrin:</t>
        </r>
        <r>
          <rPr>
            <sz val="9"/>
            <color indexed="81"/>
            <rFont val="Tahoma"/>
            <family val="2"/>
          </rPr>
          <t xml:space="preserve">
This picks up Gen Inputs Settlement Addition, when applicable. Settlement Addition is for 3PS Acquisition</t>
        </r>
      </text>
    </comment>
  </commentList>
</comments>
</file>

<file path=xl/comments8.xml><?xml version="1.0" encoding="utf-8"?>
<comments xmlns="http://schemas.openxmlformats.org/spreadsheetml/2006/main">
  <authors>
    <author>Stephanie Adams</author>
    <author>Miranda Gestrin</author>
    <author>BPA User</author>
  </authors>
  <commentList>
    <comment ref="F30" authorId="0" shapeId="0">
      <text>
        <r>
          <rPr>
            <b/>
            <sz val="9"/>
            <color indexed="81"/>
            <rFont val="Tahoma"/>
            <family val="2"/>
          </rPr>
          <t>Stephanie Adams:</t>
        </r>
        <r>
          <rPr>
            <sz val="9"/>
            <color indexed="81"/>
            <rFont val="Tahoma"/>
            <family val="2"/>
          </rPr>
          <t xml:space="preserve">
Picks up network depreciation for lines and subs, network intangibles and entire reg asset.
</t>
        </r>
      </text>
    </comment>
    <comment ref="G30" authorId="0" shapeId="0">
      <text>
        <r>
          <rPr>
            <b/>
            <sz val="9"/>
            <color indexed="81"/>
            <rFont val="Tahoma"/>
            <family val="2"/>
          </rPr>
          <t>Stephanie Adams:</t>
        </r>
        <r>
          <rPr>
            <sz val="9"/>
            <color indexed="81"/>
            <rFont val="Tahoma"/>
            <family val="2"/>
          </rPr>
          <t xml:space="preserve">
Pick up Southern Intertie Intangible
</t>
        </r>
      </text>
    </comment>
    <comment ref="D41" authorId="0" shapeId="0">
      <text>
        <r>
          <rPr>
            <b/>
            <sz val="9"/>
            <color indexed="81"/>
            <rFont val="Tahoma"/>
            <family val="2"/>
          </rPr>
          <t>Stephanie Adams / edits by Miranda Gestrin:</t>
        </r>
        <r>
          <rPr>
            <sz val="9"/>
            <color indexed="81"/>
            <rFont val="Tahoma"/>
            <family val="2"/>
          </rPr>
          <t xml:space="preserve">
Picks up all system operation, technical operations components are backed out and assigned to AS. Oversupply admin costs are backed out of Technical Ops and picked up here. TOP contracts (Transmission Operator) are directly assigned to the network and are excluded here. With the movement of costs, the remainder in this bucket should be substation operations and oversupply admin costs. </t>
        </r>
      </text>
    </comment>
    <comment ref="F41" authorId="1" shapeId="0">
      <text>
        <r>
          <rPr>
            <b/>
            <sz val="9"/>
            <color indexed="81"/>
            <rFont val="Tahoma"/>
            <family val="2"/>
          </rPr>
          <t>Miranda Gestrin:</t>
        </r>
        <r>
          <rPr>
            <sz val="9"/>
            <color indexed="81"/>
            <rFont val="Tahoma"/>
            <family val="2"/>
          </rPr>
          <t xml:space="preserve">
TOP Contracts directly assigned to Network (Separate node within System Operations bucket)</t>
        </r>
      </text>
    </comment>
    <comment ref="K41" authorId="1" shapeId="0">
      <text>
        <r>
          <rPr>
            <b/>
            <sz val="9"/>
            <color indexed="81"/>
            <rFont val="Tahoma"/>
            <family val="2"/>
          </rPr>
          <t>Miranda Gestrin:</t>
        </r>
        <r>
          <rPr>
            <sz val="9"/>
            <color indexed="81"/>
            <rFont val="Tahoma"/>
            <family val="2"/>
          </rPr>
          <t xml:space="preserve">
Back out oversupply admin from technical operations, as oversupply admin is an unsegmented cost.</t>
        </r>
      </text>
    </comment>
    <comment ref="K53" authorId="2" shapeId="0">
      <text>
        <r>
          <rPr>
            <b/>
            <sz val="9"/>
            <color indexed="81"/>
            <rFont val="Tahoma"/>
            <family val="2"/>
          </rPr>
          <t>BPA User:</t>
        </r>
        <r>
          <rPr>
            <sz val="9"/>
            <color indexed="81"/>
            <rFont val="Tahoma"/>
            <family val="2"/>
          </rPr>
          <t xml:space="preserve">
Hardcode adjustment for WECC PEAK Cost
</t>
        </r>
      </text>
    </comment>
    <comment ref="F59" authorId="2" shapeId="0">
      <text>
        <r>
          <rPr>
            <b/>
            <sz val="9"/>
            <color indexed="81"/>
            <rFont val="Tahoma"/>
            <family val="2"/>
          </rPr>
          <t>BPA User:</t>
        </r>
        <r>
          <rPr>
            <sz val="9"/>
            <color indexed="81"/>
            <rFont val="Tahoma"/>
            <family val="2"/>
          </rPr>
          <t xml:space="preserve">
Percentage from Power Info from Alex</t>
        </r>
      </text>
    </comment>
    <comment ref="I59" authorId="2" shapeId="0">
      <text>
        <r>
          <rPr>
            <b/>
            <sz val="9"/>
            <color indexed="81"/>
            <rFont val="Tahoma"/>
            <family val="2"/>
          </rPr>
          <t>BPA User:</t>
        </r>
        <r>
          <rPr>
            <sz val="9"/>
            <color indexed="81"/>
            <rFont val="Tahoma"/>
            <family val="2"/>
          </rPr>
          <t xml:space="preserve">
Percentage from Power Info from Alex</t>
        </r>
      </text>
    </comment>
    <comment ref="G62" authorId="0" shapeId="0">
      <text>
        <r>
          <rPr>
            <b/>
            <sz val="9"/>
            <color indexed="81"/>
            <rFont val="Tahoma"/>
            <family val="2"/>
          </rPr>
          <t>Stephanie Adams:</t>
        </r>
        <r>
          <rPr>
            <sz val="9"/>
            <color indexed="81"/>
            <rFont val="Tahoma"/>
            <family val="2"/>
          </rPr>
          <t xml:space="preserve">
From Gen Inputs/Alex Tbl 4.1-4.3</t>
        </r>
      </text>
    </comment>
    <comment ref="A67" authorId="0" shapeId="0">
      <text>
        <r>
          <rPr>
            <b/>
            <sz val="9"/>
            <color indexed="81"/>
            <rFont val="Tahoma"/>
            <family val="2"/>
          </rPr>
          <t>Stephanie Adams:</t>
        </r>
        <r>
          <rPr>
            <sz val="9"/>
            <color indexed="81"/>
            <rFont val="Tahoma"/>
            <family val="2"/>
          </rPr>
          <t xml:space="preserve">
Based on net plant allocation</t>
        </r>
      </text>
    </comment>
    <comment ref="K67" authorId="1" shapeId="0">
      <text>
        <r>
          <rPr>
            <b/>
            <sz val="9"/>
            <color indexed="81"/>
            <rFont val="Tahoma"/>
            <family val="2"/>
          </rPr>
          <t>Miranda Gestrin:</t>
        </r>
        <r>
          <rPr>
            <sz val="9"/>
            <color indexed="81"/>
            <rFont val="Tahoma"/>
            <family val="2"/>
          </rPr>
          <t xml:space="preserve">
This picks up Gen Inputs Settlement Addition, when applicable. Settlement Addition is for 3PS Acquisition</t>
        </r>
      </text>
    </comment>
  </commentList>
</comments>
</file>

<file path=xl/sharedStrings.xml><?xml version="1.0" encoding="utf-8"?>
<sst xmlns="http://schemas.openxmlformats.org/spreadsheetml/2006/main" count="1428" uniqueCount="657">
  <si>
    <t>CONTROL CENTER SUPPORT</t>
  </si>
  <si>
    <t>INFORMATION TECHNOLOGY</t>
  </si>
  <si>
    <t>POWER SYSTEM DISPATCHING</t>
  </si>
  <si>
    <t>SCHED-RESERVATIONS</t>
  </si>
  <si>
    <t>SCHED-PRE-SCHEDULING</t>
  </si>
  <si>
    <t>SCHED-REAL-TIME SCHEDULING</t>
  </si>
  <si>
    <t>SCHED-TECHNICAL SUPPORT</t>
  </si>
  <si>
    <t>SCHED-AFTER-THE-FACT</t>
  </si>
  <si>
    <t>Origination Date:</t>
  </si>
  <si>
    <t>Scenario:</t>
  </si>
  <si>
    <t>Source:</t>
  </si>
  <si>
    <t>PROJ ID (LEVEL 2)</t>
  </si>
  <si>
    <t>PROGRAM DESCRIPTION</t>
  </si>
  <si>
    <t>Timeperiod - Start:</t>
  </si>
  <si>
    <t>End:</t>
  </si>
  <si>
    <t>PROJ ID (LEVEL 4)</t>
  </si>
  <si>
    <t>1055</t>
  </si>
  <si>
    <t>1072</t>
  </si>
  <si>
    <t>1200</t>
  </si>
  <si>
    <t>1205</t>
  </si>
  <si>
    <t>TRANSMISSION OPERATIONS</t>
  </si>
  <si>
    <t>TRANSMISSION ENGINEERING</t>
  </si>
  <si>
    <t>TBL AQUISITION &amp; ANCILLARY</t>
  </si>
  <si>
    <t>SYSTEM OPERATIONS</t>
  </si>
  <si>
    <t>~</t>
  </si>
  <si>
    <t>SCHEDULING</t>
  </si>
  <si>
    <t>1082</t>
  </si>
  <si>
    <t>1084</t>
  </si>
  <si>
    <t>1086</t>
  </si>
  <si>
    <t>1087</t>
  </si>
  <si>
    <t>1088</t>
  </si>
  <si>
    <t>ANCILLARY SERVICES (BBL &amp; NON-BBL)</t>
  </si>
  <si>
    <t>1345</t>
  </si>
  <si>
    <t>4442</t>
  </si>
  <si>
    <t>5866</t>
  </si>
  <si>
    <t>1103</t>
  </si>
  <si>
    <t>1105</t>
  </si>
  <si>
    <t>SUMMARY DATA</t>
  </si>
  <si>
    <t>DETAILED DATA SUPPORTING SEGMENTATION AND ANCILLARY SERVICES ANALYSIS</t>
  </si>
  <si>
    <t>1100</t>
  </si>
  <si>
    <t>1101</t>
  </si>
  <si>
    <t>PROJ ID (LEVEL4/5)</t>
  </si>
  <si>
    <t>OTHER PAYMENTS TO PBL (BBL)</t>
  </si>
  <si>
    <t>NON BBL ANCILLARY SERVICES (NBBL)</t>
  </si>
  <si>
    <t>LEASED FACILITIES (NBBL)</t>
  </si>
  <si>
    <t>SETTLEMENT AGREEMENTS (NBBL)</t>
  </si>
  <si>
    <t>TRANSMISSION RENEWABLES (NBBL)</t>
  </si>
  <si>
    <t>MARKETING</t>
  </si>
  <si>
    <t>BUSINESS SUPPORT</t>
  </si>
  <si>
    <t>4443</t>
  </si>
  <si>
    <t>MKTG TRANSMISSION SALES</t>
  </si>
  <si>
    <t>4682</t>
  </si>
  <si>
    <t>MKTG CONTRACT MANAGEMENT</t>
  </si>
  <si>
    <t>4683</t>
  </si>
  <si>
    <t>MKTG TRANSMISSION BILLING</t>
  </si>
  <si>
    <t>4684</t>
  </si>
  <si>
    <t>MKTG BUSINESS STRAT &amp; ASSESS</t>
  </si>
  <si>
    <t>Input data in thousands</t>
  </si>
  <si>
    <t>EXECUTIVE &amp; ADMIN SERVICES</t>
  </si>
  <si>
    <t>SUBSTATION OPERATIONS</t>
  </si>
  <si>
    <t>AIRCRAFT SERVICES</t>
  </si>
  <si>
    <t>LOGISTICS SERVICES</t>
  </si>
  <si>
    <t>SECURITY ENHANCEMENTS EXPENSE</t>
  </si>
  <si>
    <t>LEGAL SUPPORT - EXPENSE</t>
  </si>
  <si>
    <t>cells</t>
  </si>
  <si>
    <t>INSTRUCTIONS:</t>
  </si>
  <si>
    <t>UPDATED</t>
  </si>
  <si>
    <t xml:space="preserve">  PFIA</t>
  </si>
  <si>
    <t>CORPORATE</t>
  </si>
  <si>
    <t>TRANSMISSION</t>
  </si>
  <si>
    <t xml:space="preserve">CONVERSION FOR RATE ANALYSIS </t>
  </si>
  <si>
    <t>Corp Allocation:</t>
  </si>
  <si>
    <t xml:space="preserve">FS fill in </t>
  </si>
  <si>
    <t xml:space="preserve">Scenario Notes: </t>
  </si>
  <si>
    <t>Analysis By:</t>
  </si>
  <si>
    <t xml:space="preserve">QC By: </t>
  </si>
  <si>
    <t>OPERATING EXPENSES</t>
  </si>
  <si>
    <t>TRANSMISSION ACQ &amp; ANCILLARY SERVICES</t>
  </si>
  <si>
    <t>BPA INTERNAL SUPPORT</t>
  </si>
  <si>
    <t>OTHER INCOME, EXPENSES &amp; ADJUSTMENTS</t>
  </si>
  <si>
    <t>DEPRECIATION &amp; AMORTIZATION</t>
  </si>
  <si>
    <t>TOTAL OPERATING EXPENSES</t>
  </si>
  <si>
    <t>INTEREST EXPENSE</t>
  </si>
  <si>
    <t>FEDERAL APPROPRIATIONS</t>
  </si>
  <si>
    <t>CAPITALIZATION ADJUSTMENT</t>
  </si>
  <si>
    <t>ON LONG-TERM DEBT</t>
  </si>
  <si>
    <t>AMORTIZATION OF CAPITALIZED BOND PREMIUMS</t>
  </si>
  <si>
    <t>DEBT SERVICE REASSIGNMENT INTEREST</t>
  </si>
  <si>
    <t>AFUDC</t>
  </si>
  <si>
    <t>INTEREST INCOME</t>
  </si>
  <si>
    <t>NET INTEREST EXPENSE</t>
  </si>
  <si>
    <t>TOTAL EXPENSES</t>
  </si>
  <si>
    <t>MINIMUM REQUIRED NET REVENUE 1/</t>
  </si>
  <si>
    <t>PLANNED NET REVENUES FOR RISK</t>
  </si>
  <si>
    <t>TOTAL PLANNED NET REVENUE</t>
  </si>
  <si>
    <t>TOTAL REVENUE REQUIREMENT</t>
  </si>
  <si>
    <t>$40 Million in FY 2014-15/Even Distribution</t>
  </si>
  <si>
    <t>Link to Separate Model</t>
  </si>
  <si>
    <t>INCOME STATEMENT</t>
  </si>
  <si>
    <t>?</t>
  </si>
  <si>
    <t>OTHER - USE OF RESERVES FOR RATE RELIEF</t>
  </si>
  <si>
    <t>INTEREST</t>
  </si>
  <si>
    <t>APPROPRIATION INTEREST</t>
  </si>
  <si>
    <t>FEDERAL</t>
  </si>
  <si>
    <t>BOND INTEREST</t>
  </si>
  <si>
    <t>DISCOUNTS</t>
  </si>
  <si>
    <t>PREMIUMS</t>
  </si>
  <si>
    <t>NON-FEDERAL</t>
  </si>
  <si>
    <t>DEBT SERVICE REASSIGNMENT</t>
  </si>
  <si>
    <t>CAPITAL LEASES</t>
  </si>
  <si>
    <t>FEDERAL SUB-TOTAL</t>
  </si>
  <si>
    <t>NON FEDERAL SUB-TOTAL</t>
  </si>
  <si>
    <t>PRINCIPAL</t>
  </si>
  <si>
    <t>APPROPRIATIONS</t>
  </si>
  <si>
    <t>BONDS</t>
  </si>
  <si>
    <t>Updated:</t>
  </si>
  <si>
    <t>Received:</t>
  </si>
  <si>
    <t>Capitalization Adj.</t>
  </si>
  <si>
    <t>Capitalized Bond Premium</t>
  </si>
  <si>
    <t>Return to Index</t>
  </si>
  <si>
    <t>PREMIUMS/DISCOUNTS</t>
  </si>
  <si>
    <t>CASH FLOW STATEMENT</t>
  </si>
  <si>
    <t>CASH FROM CURRENT OPERATIONS:</t>
  </si>
  <si>
    <t>TREASURY &amp; LEASE FINANCING</t>
  </si>
  <si>
    <t>PLANT-IN-SERVICE</t>
  </si>
  <si>
    <t>SOY CWIP BALANCE</t>
  </si>
  <si>
    <t>EOY CWIP BALANCE</t>
  </si>
  <si>
    <t>AVERAGE CWIP BALANCE</t>
  </si>
  <si>
    <t>AFUDC RATE</t>
  </si>
  <si>
    <t>TRANS CAPITAL EXPENDITURES</t>
  </si>
  <si>
    <t>CORPORATE AFUDC</t>
  </si>
  <si>
    <t>AFUDC Rate Source:</t>
  </si>
  <si>
    <t>TRANSMISSION LONG-TERM RATE FORECAST - INTEREST INCOME INPUT FILE</t>
  </si>
  <si>
    <t>ANNUAL CASH SURPLUS/(DEFICIT)</t>
  </si>
  <si>
    <t>ADJUSTMENTS TO CASH</t>
  </si>
  <si>
    <t>START OF YEAR CASH BALANCE</t>
  </si>
  <si>
    <t>END OF YEAR CASH BALANCE</t>
  </si>
  <si>
    <t>AVERAGE CASH BALANCE</t>
  </si>
  <si>
    <t>INTEREST INCOME RATE</t>
  </si>
  <si>
    <t>ANNUAL INTEREST INCOME</t>
  </si>
  <si>
    <t>REPAYMENT STUDY INTEREST INCOME</t>
  </si>
  <si>
    <t>TRUSTEE INTEREST INCOME ADDER</t>
  </si>
  <si>
    <t>TOTAL INTEREST INCOME</t>
  </si>
  <si>
    <t>AFUDC (ACTUALS)</t>
  </si>
  <si>
    <t>REGULAR</t>
  </si>
  <si>
    <t>LEASE FINANCING</t>
  </si>
  <si>
    <t>TOTAL TREASURY AND LEASE FINANCING TRANS AFUDC</t>
  </si>
  <si>
    <t>TOTAL AFUDC</t>
  </si>
  <si>
    <t>Stephanie Adams</t>
  </si>
  <si>
    <t>DRAWDOWN OF CASH RESERVES FOR CAPITAL FUNDING</t>
  </si>
  <si>
    <t>EXPENSES NOT REQUIRING CASH:</t>
  </si>
  <si>
    <t xml:space="preserve">MINIMUM REQUIRED NET REVENUE </t>
  </si>
  <si>
    <t>TRANSMISSION CREDIT PROJECTS NET INTEREST</t>
  </si>
  <si>
    <t>NON-CASH REVENUES</t>
  </si>
  <si>
    <t>AC INTERTIE CO/FIBER</t>
  </si>
  <si>
    <t>CASH PROVIDED BY CURRENT OPERATIONS</t>
  </si>
  <si>
    <t>Reserves for Rate Relief</t>
  </si>
  <si>
    <t>AC Intertie Rev:</t>
  </si>
  <si>
    <t>CASH USED FOR CAPITAL INVESTMENTS:</t>
  </si>
  <si>
    <t>INVESTMENT IN:</t>
  </si>
  <si>
    <t>UTILITY PLANT</t>
  </si>
  <si>
    <t>CASH USED FOR CAPITAL INVESTMENTS</t>
  </si>
  <si>
    <t>CASH FROM TREASURY BORROWING AND APPROPRIATIONS:</t>
  </si>
  <si>
    <t>INCREASE IN LONG-TERM DEBT</t>
  </si>
  <si>
    <t>DEBT SERVICE REASSIGNMENT PRINCIPAL</t>
  </si>
  <si>
    <t>REPAYMENT OF CAPITAL LEASES</t>
  </si>
  <si>
    <t>REPAYMENT OF LONG-TERM DEBT</t>
  </si>
  <si>
    <t>REPAYMENT OF CAPITAL APPROPRIATIONS</t>
  </si>
  <si>
    <t>ANNUAL INCREASE (DECREASE) IN CASH</t>
  </si>
  <si>
    <t>TOTAL ANNUAL INCREASE (DECREASE) IN CASH</t>
  </si>
  <si>
    <t>n/a</t>
  </si>
  <si>
    <t>TOTAL</t>
  </si>
  <si>
    <t>GENERATION INTEGRATION</t>
  </si>
  <si>
    <t>NETWORK</t>
  </si>
  <si>
    <t>SOUTHERN INTERTIE</t>
  </si>
  <si>
    <t>EASTERN INTERTIE</t>
  </si>
  <si>
    <t>UTILITY DELIVERY</t>
  </si>
  <si>
    <t>DSI DELIVERY</t>
  </si>
  <si>
    <t>ANCILLARY SERVICES</t>
  </si>
  <si>
    <t>FCRTS INVESTMENT BASE</t>
  </si>
  <si>
    <t>REMAINING NET INTEREST EXPENSE</t>
  </si>
  <si>
    <t>TOTAL NET INTEREST EXPENSE</t>
  </si>
  <si>
    <t>Auto-Calculate</t>
  </si>
  <si>
    <t>NON-BBL TRANS ACQ AND ANCILLARY SERVICES</t>
  </si>
  <si>
    <t>BBL ANCILLARY SERVICES</t>
  </si>
  <si>
    <t>PLANNED NET REVENUE</t>
  </si>
  <si>
    <t>TOTAL MINIMUM REQUIRED NET REVENUE</t>
  </si>
  <si>
    <t>PERCENTAGE OF DIRECT O&amp;M W/OUT AS</t>
  </si>
  <si>
    <t>TS GENERAL PLANT DEPRECATION</t>
  </si>
  <si>
    <t>TOTAL DEPRECIATION EXPENSE</t>
  </si>
  <si>
    <t>DEPRECIATION</t>
  </si>
  <si>
    <t>LINK TO SOURCE FILE:</t>
  </si>
  <si>
    <t>QTRLY FORECAST - END OF YEAR CASH BALANCE</t>
  </si>
  <si>
    <t>NEAR-TERM SUMMARY DATA</t>
  </si>
  <si>
    <t>REPAYMENT STUDY OUTPUT</t>
  </si>
  <si>
    <t>NON-FEDERAL INTEREST</t>
  </si>
  <si>
    <t>NON-FEDERAL PRINCIPLE</t>
  </si>
  <si>
    <t>FEDERAL INTEREST (EXCLUDING INTEREST INCOME)</t>
  </si>
  <si>
    <t>FEDERAL PRINCIPLE (NO DISCOUNTS/PREMIUMS)</t>
  </si>
  <si>
    <t xml:space="preserve">REVENUE REQUIREMENT </t>
  </si>
  <si>
    <t>FEDERAL NET INTEREST 1/</t>
  </si>
  <si>
    <t>MRNR</t>
  </si>
  <si>
    <t>CASH FLOW GENERATED</t>
  </si>
  <si>
    <t>CASH FLOW</t>
  </si>
  <si>
    <t>CASH FROM CURRENT OPERATIONS</t>
  </si>
  <si>
    <t>CAPITAL INVESTMENTS</t>
  </si>
  <si>
    <t>CASH FROM BORROWING</t>
  </si>
  <si>
    <t>INCREASE IN LONG TERM DEBT</t>
  </si>
  <si>
    <r>
      <t xml:space="preserve">TRANSMISSION LONG-TERM RATE FORECAST - </t>
    </r>
    <r>
      <rPr>
        <b/>
        <sz val="14"/>
        <rFont val="Calibri"/>
        <family val="2"/>
        <scheme val="minor"/>
      </rPr>
      <t>Revenue Requirement</t>
    </r>
  </si>
  <si>
    <t>LGIA CREDITS</t>
  </si>
  <si>
    <t>COI CREDITS</t>
  </si>
  <si>
    <t>1/ INTEREST COMPONENTS</t>
  </si>
  <si>
    <t>LGIA INTEREST</t>
  </si>
  <si>
    <t>2 YEAR AVERAGE REVENUE REQUIREMENT</t>
  </si>
  <si>
    <t>14/15</t>
  </si>
  <si>
    <t>16/17</t>
  </si>
  <si>
    <t>18/19</t>
  </si>
  <si>
    <t>20/21</t>
  </si>
  <si>
    <t>22/23</t>
  </si>
  <si>
    <t>24/25</t>
  </si>
  <si>
    <t>26/27</t>
  </si>
  <si>
    <t>28/29</t>
  </si>
  <si>
    <t>30/31</t>
  </si>
  <si>
    <t>32/33</t>
  </si>
  <si>
    <t>34/35</t>
  </si>
  <si>
    <t>36/37</t>
  </si>
  <si>
    <t>38/39</t>
  </si>
  <si>
    <t>40/41</t>
  </si>
  <si>
    <t>42/43</t>
  </si>
  <si>
    <t xml:space="preserve">NON-FEDERAL INTEREST </t>
  </si>
  <si>
    <t>Power</t>
  </si>
  <si>
    <t>Transmission</t>
  </si>
  <si>
    <t>USE FOR BORROWING PLAN &amp; REPAYMENT MODEL</t>
  </si>
  <si>
    <t>REDISPATCH &amp; STATION SERVICE (BBL)</t>
  </si>
  <si>
    <t>TOTAL BBL</t>
  </si>
  <si>
    <t>TOTAL NBBL</t>
  </si>
  <si>
    <t>TOTAL BBL &amp; NBBL</t>
  </si>
  <si>
    <t>Linked To:</t>
  </si>
  <si>
    <t>ADJUSTMENTS</t>
  </si>
  <si>
    <t>O&amp;M SEGMENTATION</t>
  </si>
  <si>
    <t>PERCENT ALLOCATION</t>
  </si>
  <si>
    <t>Repayment Inputs</t>
  </si>
  <si>
    <t>SYSTEM OPERATION, MAINTENANCE, ENVIRONMENT</t>
  </si>
  <si>
    <t xml:space="preserve">SYSTEM OPERATION </t>
  </si>
  <si>
    <t>SYSTEM MAINTENANCE</t>
  </si>
  <si>
    <t>Total</t>
  </si>
  <si>
    <t>Scheduling,</t>
  </si>
  <si>
    <t>Ancillary</t>
  </si>
  <si>
    <t>Syst Control,</t>
  </si>
  <si>
    <t>Services</t>
  </si>
  <si>
    <t>&amp; Dispatch</t>
  </si>
  <si>
    <t>DIRECT O&amp;M</t>
  </si>
  <si>
    <t>TOTAL O&amp;M</t>
  </si>
  <si>
    <t>GENERATION INPUTS</t>
  </si>
  <si>
    <t xml:space="preserve">NET INTEREST </t>
  </si>
  <si>
    <t>PLANNED NET REVENUES</t>
  </si>
  <si>
    <t>TOTAL TO SEGMENT</t>
  </si>
  <si>
    <t>DIRECT LINES O&amp;M</t>
  </si>
  <si>
    <t>TOTAL DIRECT TRANSMISSION O&amp;M</t>
  </si>
  <si>
    <t>DIRECT SUBSTATION O&amp;M</t>
  </si>
  <si>
    <t>TOTAL DIRECT O&amp;M (w/AS)</t>
  </si>
  <si>
    <t>OVERHEAD CATEGORIES</t>
  </si>
  <si>
    <t>CAPITAL RELATED COSTS SEGMENTATION</t>
  </si>
  <si>
    <t>SYSTEM ENGINEERING</t>
  </si>
  <si>
    <t>STATION SERVICE</t>
  </si>
  <si>
    <t>REDISPATCH</t>
  </si>
  <si>
    <t>CORPS/BUREAU TRANSMISSION</t>
  </si>
  <si>
    <t>GEN DROPPING</t>
  </si>
  <si>
    <t>BBL -PAYMENTS TO POWER SERVICES</t>
  </si>
  <si>
    <t>NON-BBL - PAYMENTS TO OTHERS</t>
  </si>
  <si>
    <t>TOTAL TRANS ACQ AND ANCILLARY</t>
  </si>
  <si>
    <t xml:space="preserve">Timeperiod </t>
  </si>
  <si>
    <t>SEGMENTED REVENUE REQUIREMENT</t>
  </si>
  <si>
    <t>OPERATIONS &amp; MAINTENANCE</t>
  </si>
  <si>
    <t>TRANS ACQUISITION AND ANCILLARY SERVICES</t>
  </si>
  <si>
    <t>TOTAL TRANSMISSION REVENUE REQUIREMENT</t>
  </si>
  <si>
    <t>TRANSMISSION MAINTENANCE INCLUDING ENVIRONMENT</t>
  </si>
  <si>
    <t>BBL- SUBTOTAL</t>
  </si>
  <si>
    <t>NON-BBL- SUBTOTAL</t>
  </si>
  <si>
    <t>OVERHEAD SUB-TOTAL</t>
  </si>
  <si>
    <t>CAPITAL RELATED COSTS</t>
  </si>
  <si>
    <t>CORPORATE/OTHER</t>
  </si>
  <si>
    <r>
      <t>TRANSMISSION LONG-TERM RATE FORECAST -</t>
    </r>
    <r>
      <rPr>
        <b/>
        <sz val="14"/>
        <rFont val="Arial"/>
        <family val="2"/>
      </rPr>
      <t xml:space="preserve"> 2018 Segmented</t>
    </r>
    <r>
      <rPr>
        <sz val="14"/>
        <rFont val="Arial"/>
        <family val="2"/>
      </rPr>
      <t xml:space="preserve"> </t>
    </r>
    <r>
      <rPr>
        <b/>
        <sz val="14"/>
        <rFont val="Arial"/>
        <family val="2"/>
      </rPr>
      <t>Revenue Requirement</t>
    </r>
  </si>
  <si>
    <r>
      <t>TRANSMISSION LONG-TERM RATE FORECAST -</t>
    </r>
    <r>
      <rPr>
        <b/>
        <sz val="14"/>
        <rFont val="Arial"/>
        <family val="2"/>
      </rPr>
      <t xml:space="preserve"> 2020 Segmented</t>
    </r>
    <r>
      <rPr>
        <sz val="14"/>
        <rFont val="Arial"/>
        <family val="2"/>
      </rPr>
      <t xml:space="preserve"> </t>
    </r>
    <r>
      <rPr>
        <b/>
        <sz val="14"/>
        <rFont val="Arial"/>
        <family val="2"/>
      </rPr>
      <t>Revenue Requirement</t>
    </r>
  </si>
  <si>
    <r>
      <t>TRANSMISSION LONG-TERM RATE FORECAST -</t>
    </r>
    <r>
      <rPr>
        <b/>
        <sz val="14"/>
        <rFont val="Arial"/>
        <family val="2"/>
      </rPr>
      <t xml:space="preserve"> 2021 Segmented</t>
    </r>
    <r>
      <rPr>
        <sz val="14"/>
        <rFont val="Arial"/>
        <family val="2"/>
      </rPr>
      <t xml:space="preserve"> </t>
    </r>
    <r>
      <rPr>
        <b/>
        <sz val="14"/>
        <rFont val="Arial"/>
        <family val="2"/>
      </rPr>
      <t>Revenue Requirement</t>
    </r>
  </si>
  <si>
    <t>NON-BBL /Acq. &amp; Ancillary</t>
  </si>
  <si>
    <t>7-YEAR AVERAGE O&amp;M:   LINES</t>
  </si>
  <si>
    <t>7-YEAR AVERAGE O&amp;M:   SUBSTATIONS</t>
  </si>
  <si>
    <t>TOTAL 7-YEAR AVERAGE O&amp;M</t>
  </si>
  <si>
    <t>O&amp;M OVERHEADS</t>
  </si>
  <si>
    <t>A</t>
  </si>
  <si>
    <t>B</t>
  </si>
  <si>
    <t xml:space="preserve">C </t>
  </si>
  <si>
    <t>D</t>
  </si>
  <si>
    <t>E</t>
  </si>
  <si>
    <t>F</t>
  </si>
  <si>
    <t>Expenses</t>
  </si>
  <si>
    <t>% Change in Rates</t>
  </si>
  <si>
    <t>Operations</t>
  </si>
  <si>
    <t>Maintenance</t>
  </si>
  <si>
    <t>Engineering</t>
  </si>
  <si>
    <t>Internal Support &amp; Undistributed Reduction</t>
  </si>
  <si>
    <t>IPR Sub-total</t>
  </si>
  <si>
    <t>Non-IPR Sub-total</t>
  </si>
  <si>
    <t xml:space="preserve">    Revenues</t>
  </si>
  <si>
    <t>1/ The Ancillary Services forecast has been modified to reflect levels filed in the Errata to BP-14 Final Proposal</t>
  </si>
  <si>
    <t>2/ Use of reserves  in BP-14 included $20 million/yr for rate mitigation.</t>
  </si>
  <si>
    <t>3/ Includes Net Interest Expense, Depreciation/Amortization and Minimum Required Net Revenues</t>
  </si>
  <si>
    <t>4/ Change in rates reflects average across all segments.</t>
  </si>
  <si>
    <t>Change from                        BP-14 to FY 16/17</t>
  </si>
  <si>
    <t>AVG</t>
  </si>
  <si>
    <t>BP-14</t>
  </si>
  <si>
    <t>TRANSMISSION MAINTENANCE</t>
  </si>
  <si>
    <t>CAPITAL RELATED COST</t>
  </si>
  <si>
    <t>BP-14 FP</t>
  </si>
  <si>
    <t>BP-16 IP</t>
  </si>
  <si>
    <t>BP-16</t>
  </si>
  <si>
    <t>BP-18</t>
  </si>
  <si>
    <t>BP-20</t>
  </si>
  <si>
    <t>BP-22</t>
  </si>
  <si>
    <t>BP-24</t>
  </si>
  <si>
    <t>BP-26</t>
  </si>
  <si>
    <t>BP-28</t>
  </si>
  <si>
    <t>G</t>
  </si>
  <si>
    <t>H</t>
  </si>
  <si>
    <t>I</t>
  </si>
  <si>
    <t>J</t>
  </si>
  <si>
    <t>K</t>
  </si>
  <si>
    <t>L</t>
  </si>
  <si>
    <t>M</t>
  </si>
  <si>
    <t>N</t>
  </si>
  <si>
    <t>$ (Million)</t>
  </si>
  <si>
    <t>Change from                        FY 24/25 to               FY 26/27</t>
  </si>
  <si>
    <t>Change from                        FY 22/23 to              FY 24/25</t>
  </si>
  <si>
    <t>Change from                        FY 20/21 to               FY 22/23</t>
  </si>
  <si>
    <t>Change from                         FY 18/19 to              FY 20/21</t>
  </si>
  <si>
    <t>Change from                        FY 16/17 to               FY 18/19</t>
  </si>
  <si>
    <t>Change from                        FY 26/27 to              FY 28/29</t>
  </si>
  <si>
    <t>CAPITAL FORECAST</t>
  </si>
  <si>
    <t>PIS FORECAST</t>
  </si>
  <si>
    <t>I-5 Upgrade</t>
  </si>
  <si>
    <t>Celilo</t>
  </si>
  <si>
    <t>Linked</t>
  </si>
  <si>
    <t>Hardcoded</t>
  </si>
  <si>
    <t>TS CONST (W/AFUDC)</t>
  </si>
  <si>
    <t>RESERVE FINANCING (Reduces Borrowings)</t>
  </si>
  <si>
    <t>TOTAL TRANSMISSION BONDS (Corp+Envir+Const)</t>
  </si>
  <si>
    <t>ENVIRONMENT (For Borrowing)</t>
  </si>
  <si>
    <t>Exclude/Old</t>
  </si>
  <si>
    <t>TOTAL CORPORATE - POWER (For Borrowing)</t>
  </si>
  <si>
    <t>TOTAL POWER BONDS (Corp+AFUDC+Direct for Rev. Req)</t>
  </si>
  <si>
    <t>OVERSUPPLY ADMIN - SPLIT FROM TECH. OPS</t>
  </si>
  <si>
    <t>Link</t>
  </si>
  <si>
    <t>TRANSMISSION CONSTRUCTION BONDS (For Borrowing)</t>
  </si>
  <si>
    <t>TS AFUDC - Construction</t>
  </si>
  <si>
    <t>TS AFUDC - Corporate/IT</t>
  </si>
  <si>
    <t>Corporate Allocation to Power</t>
  </si>
  <si>
    <t xml:space="preserve">Power IT + Corporate/IT AFUDC </t>
  </si>
  <si>
    <t>Corporate Allocation to Trans</t>
  </si>
  <si>
    <t>Corporate AFUDC for Trans</t>
  </si>
  <si>
    <t>TS CORPORATE W/AFUDC (For Borrowing)</t>
  </si>
  <si>
    <t>Historical</t>
  </si>
  <si>
    <t>IDAHO ENERGY RESOURCE AUTHORITY</t>
  </si>
  <si>
    <t>2nd QC:</t>
  </si>
  <si>
    <t>1st QC:</t>
  </si>
  <si>
    <t>Expense Input</t>
  </si>
  <si>
    <t>Capital Input</t>
  </si>
  <si>
    <t>Plant Investment Model</t>
  </si>
  <si>
    <t>Revenue Requirement</t>
  </si>
  <si>
    <t>Segmentation Study</t>
  </si>
  <si>
    <t>HARDWIRES FOR AAC</t>
  </si>
  <si>
    <t>NF w/out DSR and LGIA/COI credits</t>
  </si>
  <si>
    <t>`</t>
  </si>
  <si>
    <t xml:space="preserve">Ancillary Services </t>
  </si>
  <si>
    <t>IPR</t>
  </si>
  <si>
    <t>Total Revenue Requirement</t>
  </si>
  <si>
    <t>Notes:</t>
  </si>
  <si>
    <t>External Worksheet Links (To Update)</t>
  </si>
  <si>
    <t>Date Updated</t>
  </si>
  <si>
    <t>Expense File from Budget</t>
  </si>
  <si>
    <t>Internal Workbook Links (No Update Required)</t>
  </si>
  <si>
    <t>Multiple</t>
  </si>
  <si>
    <t>Inflation Rates</t>
  </si>
  <si>
    <t>RESERVES NOT FOR RISK</t>
  </si>
  <si>
    <t>RNFR ANNUAL INTEREST INCOME</t>
  </si>
  <si>
    <t>RESERVES FOR RISK</t>
  </si>
  <si>
    <t>KSI ASSET MANAGEMENT</t>
  </si>
  <si>
    <t>KSI LT FINANCE &amp; RATES</t>
  </si>
  <si>
    <t>KSI COM OPERATIONS</t>
  </si>
  <si>
    <t>TBL INTERNAL GENERAL &amp; ADMINISTRATIVE</t>
  </si>
  <si>
    <t>KSI's - PICKING UP AS BUSINESS SUPPORT</t>
  </si>
  <si>
    <t>C</t>
  </si>
  <si>
    <t>$
(Million)</t>
  </si>
  <si>
    <t>% Change
in Rates</t>
  </si>
  <si>
    <t>1. Operations</t>
  </si>
  <si>
    <t>2. Maintenance</t>
  </si>
  <si>
    <t>3. Engineering</t>
  </si>
  <si>
    <t>DATA FOR CROSSWALK</t>
  </si>
  <si>
    <t>AVG 20/21</t>
  </si>
  <si>
    <t>AVG 22/23</t>
  </si>
  <si>
    <t>AVG 24/25</t>
  </si>
  <si>
    <t>AVG 18/19</t>
  </si>
  <si>
    <t>Inputs from Rates</t>
  </si>
  <si>
    <t>FY20/21 to FY22/23</t>
  </si>
  <si>
    <t>FY22/23 to FY24/25</t>
  </si>
  <si>
    <t>Date Updated:</t>
  </si>
  <si>
    <t>Last Updated Rates Version:</t>
  </si>
  <si>
    <t>Depreciation &amp; Amortization</t>
  </si>
  <si>
    <t>Total Planned Net Revenue</t>
  </si>
  <si>
    <t>Net Interest Expense</t>
  </si>
  <si>
    <t xml:space="preserve">NON BBL ANCILLARY SERVICES LESS GEN INPUT </t>
  </si>
  <si>
    <t>For Segmentation:</t>
  </si>
  <si>
    <t>2/ Change in rates reflects average across all segments.</t>
  </si>
  <si>
    <t>Transmission Comparison Graphs</t>
  </si>
  <si>
    <t>Current Scenario:</t>
  </si>
  <si>
    <t>Comparison Scenario:</t>
  </si>
  <si>
    <t>18/19 in Current Scenario Held to:</t>
  </si>
  <si>
    <t>Transmission Operations</t>
  </si>
  <si>
    <t>Transmission Engineering</t>
  </si>
  <si>
    <t>Transmission Maintenance</t>
  </si>
  <si>
    <t>Transmission Acq &amp; Ancillary Services</t>
  </si>
  <si>
    <t>BPA Internal Support</t>
  </si>
  <si>
    <t>Other Income, Expenses, &amp; Adjustments</t>
  </si>
  <si>
    <t>Capital Related Costs</t>
  </si>
  <si>
    <t>Total Revenue Requirement Change</t>
  </si>
  <si>
    <t>Total Capital Related Costs Change</t>
  </si>
  <si>
    <t>Difference</t>
  </si>
  <si>
    <t>Total % Change</t>
  </si>
  <si>
    <t>Revenues</t>
  </si>
  <si>
    <t>Total Capital Related Costs</t>
  </si>
  <si>
    <t>Minimum Required Net Revenue (MRNR)</t>
  </si>
  <si>
    <t>IPR Costs</t>
  </si>
  <si>
    <t>Non-IPR Costs (BBL Ancillary Services)</t>
  </si>
  <si>
    <t>5. Internal Support &amp; Undistributed Reduction</t>
  </si>
  <si>
    <t>6. IPR Sub-Total</t>
  </si>
  <si>
    <t>8. Non-IPR Sub-Total</t>
  </si>
  <si>
    <t>11. Revenues</t>
  </si>
  <si>
    <t>BETWEEN BUSINESS LINE ANCILLARY SERVICES</t>
  </si>
  <si>
    <t>NON-BETWEEN BUSINESS LINE ANCILLARY SERVICES</t>
  </si>
  <si>
    <t>Ancillary Services Total Check</t>
  </si>
  <si>
    <t>1/ Includes Net Interest Expense, Depreciation/Amortization and Minimum Required Net Revenues.</t>
  </si>
  <si>
    <t>Capital Related Cost Comparison
(Thousands)</t>
  </si>
  <si>
    <t>Revenue Requirement Comparison
(Thousands)</t>
  </si>
  <si>
    <t>Average Revenue Requirement Comparison
(Thousands)</t>
  </si>
  <si>
    <t>Average Capital Related Cost Comparison
(Thousands)</t>
  </si>
  <si>
    <t>Gen Inputs Settlement Addition - 3PS Acquisition Expense</t>
  </si>
  <si>
    <t>3PS E-mail</t>
  </si>
  <si>
    <t>Corps/Bureau Split</t>
  </si>
  <si>
    <t>BP-18 FP to FY20/21</t>
  </si>
  <si>
    <t>12. Total Change (Line 10 less Line 11)</t>
  </si>
  <si>
    <t>Synchronous Condensors Split</t>
  </si>
  <si>
    <t>SYNCHRONOUS CONDENSERS</t>
  </si>
  <si>
    <t>TRANSMISSION LONG-TERM RATE FORECAST - Revenue Requirement</t>
  </si>
  <si>
    <t>FINANCING ASSUMPTIONS</t>
  </si>
  <si>
    <t>RESERVE FINANCING</t>
  </si>
  <si>
    <t>REVENUE FINANCING</t>
  </si>
  <si>
    <t>REVENUE FINANCING (Reduces Borrowings)</t>
  </si>
  <si>
    <t>INFLATED COSTS / COSTS PULLED FORWARD  - FOR LONG-TERM VIEW</t>
  </si>
  <si>
    <t>Bureau of Reclamation</t>
  </si>
  <si>
    <t>Corps of Engineers</t>
  </si>
  <si>
    <t>Power AFUDC Allocated Between Bureau &amp; Corps</t>
  </si>
  <si>
    <t>FOR CALCULATION ONLY</t>
  </si>
  <si>
    <t>TOTAL MINIMUM REQUIRED NET REVENUE 1/</t>
  </si>
  <si>
    <t>REMAINING PLANNED NET REVENUE</t>
  </si>
  <si>
    <t>Long-Term Forecasting</t>
  </si>
  <si>
    <t>Internal Workbook Links</t>
  </si>
  <si>
    <t>NON-FEDERAL INTEREST (INCL CUSTOMER FUNDED)</t>
  </si>
  <si>
    <t>CUSTOMER FUNDED</t>
  </si>
  <si>
    <t>CUSTOMER FUNDED CAPITAL FORECAST</t>
  </si>
  <si>
    <t>LGIA (Includes LLIP)</t>
  </si>
  <si>
    <t>LGIA REVENUES/CREDITS (Includes LLIP)</t>
  </si>
  <si>
    <t>DEBT</t>
  </si>
  <si>
    <t>DEBT TO ASSET RATIO</t>
  </si>
  <si>
    <t>CUSTOMER FUNDED PROJECTS NET INTEREST</t>
  </si>
  <si>
    <t>CUSTOMER FUNDED AFUDC (Includes LGIA &amp; LLIP)</t>
  </si>
  <si>
    <t>CUSTOMER FUNDED CAPITAL EXPENDITURES</t>
  </si>
  <si>
    <t>CUSTOMER FUNDED PLANT-IN-SERVICE</t>
  </si>
  <si>
    <t>TOTAL CUSTOMER FUNDED  AFUDC</t>
  </si>
  <si>
    <t>CUSTOMER FUNDED REVENUE CREDITS</t>
  </si>
  <si>
    <t>CUSTOMER FUNDED NET INTEREST</t>
  </si>
  <si>
    <t>CUSTOMER FUNDED DEPRECIATION</t>
  </si>
  <si>
    <t>CUSTOMER FUNDED MRNR</t>
  </si>
  <si>
    <t xml:space="preserve">CUSTOMER FUNDED INTEREST </t>
  </si>
  <si>
    <t>CUSTOMER FUNDED AFUDC</t>
  </si>
  <si>
    <t>FISH &amp; WILDLIFE (For Borrowing)</t>
  </si>
  <si>
    <t>EE/CONSERVATION (For Borrowing) - No longer capitalized</t>
  </si>
  <si>
    <t>BUREAU OF RECLAMATION + AFUDC (For Borrowing)</t>
  </si>
  <si>
    <t>CORPS OF ENGINEERS + AFUDC (For Borrowing)</t>
  </si>
  <si>
    <t>*Excludes regulatory assets and includes PFIA</t>
  </si>
  <si>
    <t>COI - REPAID IN 2018</t>
  </si>
  <si>
    <t>COI REVENUES/CREDITS - REPAID IN 2018</t>
  </si>
  <si>
    <t>CWIP Balances</t>
  </si>
  <si>
    <t>AFUDC Adjustment Factor</t>
  </si>
  <si>
    <t>CORPORATE CAPITAL (Allocation of Total)</t>
  </si>
  <si>
    <t>Assumed Portion of Rate:</t>
  </si>
  <si>
    <t>Interest Rate to Apply</t>
  </si>
  <si>
    <t>QC Transmission Operations Totals</t>
  </si>
  <si>
    <t>TECHNICAL OPERATIONS (Includes Oversupply Admin)</t>
  </si>
  <si>
    <t>TOP CONTRACTS BACKED OUT</t>
  </si>
  <si>
    <t>2010 - 2016 SEGMENTATION STUDY AVERAGES</t>
  </si>
  <si>
    <t>26/27/28</t>
  </si>
  <si>
    <t>29/30</t>
  </si>
  <si>
    <t>31/32</t>
  </si>
  <si>
    <t>AVG 26/27/28</t>
  </si>
  <si>
    <t>AVG 29/30</t>
  </si>
  <si>
    <t>HELD TO BP-18 FINAL PROPOSAL</t>
  </si>
  <si>
    <t>FY24/25 to FY26/27/28</t>
  </si>
  <si>
    <t>FY26/27/28 to FY29/30</t>
  </si>
  <si>
    <t>Change from
FY20/21 to FY22/23</t>
  </si>
  <si>
    <t>Change from
BP-18 to FY20/21</t>
  </si>
  <si>
    <t>Change from
FY22/23 to FY 24/25</t>
  </si>
  <si>
    <t>Change from
FY24/25 to FY26/27/28</t>
  </si>
  <si>
    <t>Change from
FY26/27/28 to FY29/30</t>
  </si>
  <si>
    <t>Q3 Forecast Corp AFUDC</t>
  </si>
  <si>
    <t>Initial Proposal</t>
  </si>
  <si>
    <t>Corp/Bureau Network and Delivery (BBL)</t>
  </si>
  <si>
    <t>Generation Dropping (BBL)</t>
  </si>
  <si>
    <t>Synchronous Condensor (BBL)</t>
  </si>
  <si>
    <t>Redispatch (BBL)</t>
  </si>
  <si>
    <t>Station Service (BBL)</t>
  </si>
  <si>
    <t>Appropriations Borrowing Rates - 1 Year Rate 2019 Forecast</t>
  </si>
  <si>
    <t>Total O&amp;M</t>
  </si>
  <si>
    <t>Updated by FS:</t>
  </si>
  <si>
    <t>M. McGraw</t>
  </si>
  <si>
    <t>FEDERAL SUB-TOTAL (SANS INTEREST INCOME)</t>
  </si>
  <si>
    <r>
      <t xml:space="preserve">DIRECT DEPRECIATION </t>
    </r>
    <r>
      <rPr>
        <sz val="8"/>
        <color theme="1"/>
        <rFont val="Arial"/>
        <family val="2"/>
      </rPr>
      <t>(Including Customer Funded)</t>
    </r>
  </si>
  <si>
    <t>NON FEDERAL SUB-TOTAL Minus DSR</t>
  </si>
  <si>
    <r>
      <t>TRANSMISSION LONG-TERM RATE FORECAST -</t>
    </r>
    <r>
      <rPr>
        <b/>
        <sz val="14"/>
        <rFont val="Arial"/>
        <family val="2"/>
      </rPr>
      <t xml:space="preserve"> 2033 Segmented</t>
    </r>
    <r>
      <rPr>
        <sz val="14"/>
        <rFont val="Arial"/>
        <family val="2"/>
      </rPr>
      <t xml:space="preserve"> </t>
    </r>
    <r>
      <rPr>
        <b/>
        <sz val="14"/>
        <rFont val="Arial"/>
        <family val="2"/>
      </rPr>
      <t>Revenue Requirement</t>
    </r>
  </si>
  <si>
    <r>
      <t>TRANSMISSION LONG-TERM RATE FORECAST -</t>
    </r>
    <r>
      <rPr>
        <b/>
        <sz val="14"/>
        <rFont val="Arial"/>
        <family val="2"/>
      </rPr>
      <t xml:space="preserve"> 2034 Segmented</t>
    </r>
    <r>
      <rPr>
        <sz val="14"/>
        <rFont val="Arial"/>
        <family val="2"/>
      </rPr>
      <t xml:space="preserve"> </t>
    </r>
    <r>
      <rPr>
        <b/>
        <sz val="14"/>
        <rFont val="Arial"/>
        <family val="2"/>
      </rPr>
      <t>Revenue Requirement</t>
    </r>
  </si>
  <si>
    <t>NON-IPR (BBL ANCILLARY SERVICES)</t>
  </si>
  <si>
    <t>B
2020
Fiscal Year
GDP Price
Deflator</t>
  </si>
  <si>
    <t>FY2020</t>
  </si>
  <si>
    <t>Assumptions:</t>
  </si>
  <si>
    <t xml:space="preserve">Notes:
Holding expenses in BP-18 to Final Proposal. </t>
  </si>
  <si>
    <t>Ungapped DSR</t>
  </si>
  <si>
    <t>BP22</t>
  </si>
  <si>
    <t>STRATEGIC INTEGRATION</t>
  </si>
  <si>
    <t xml:space="preserve"> (Previously Energy Imbalance Market - EIM)</t>
  </si>
  <si>
    <t xml:space="preserve"> (TOP Contracts - Within System Operations Node)</t>
  </si>
  <si>
    <t>TRANSMISSION SYSTEM OPERATOR</t>
  </si>
  <si>
    <t>LEASED FACILITIES</t>
  </si>
  <si>
    <t>(NBBL)</t>
  </si>
  <si>
    <t>SETTLEMENT AGREEMENTS</t>
  </si>
  <si>
    <t>RELIABILITY DEMAND RESPONSE/REDISPATCH</t>
  </si>
  <si>
    <t>TRANSMISSION OPERATIONS TOTAL</t>
  </si>
  <si>
    <t>TRANSMISSION ENGINEERING TOTAL</t>
  </si>
  <si>
    <t>TBL REIMBURSABLES TOTAL</t>
  </si>
  <si>
    <t>GEN &amp; ADMIN/SHARED SERVICES TOTAL</t>
  </si>
  <si>
    <t>TRANSMISSION MAINTENANCE TOTAL</t>
  </si>
  <si>
    <t>Including Environment</t>
  </si>
  <si>
    <t>Hardwire including addition:</t>
  </si>
  <si>
    <t>Carry Over from BP20</t>
  </si>
  <si>
    <t>Leverage Calculator</t>
  </si>
  <si>
    <t>LESS: PRINCIPAL REPAYMENT</t>
  </si>
  <si>
    <t>PRIOR YEAR NET DEBT OUTSTANDING</t>
  </si>
  <si>
    <t>PRIOR YEAR COMPLETED PLANT BALANCE</t>
  </si>
  <si>
    <t>CWIP</t>
  </si>
  <si>
    <t>LESS:  PRIOR YEAR ACCUMULATED DEPRECIATION*</t>
  </si>
  <si>
    <t>LESS: CURRENT YEAR DEPRECIATION*</t>
  </si>
  <si>
    <t>CASH FLOW BEFORE REVENUE FINANCING</t>
  </si>
  <si>
    <t>Temp Hardcode PreIPR</t>
  </si>
  <si>
    <t xml:space="preserve">regional compliance enforcement/regional coordinator (previously WECC/Peak) </t>
  </si>
  <si>
    <t>Input Drivers</t>
  </si>
  <si>
    <t>FISH &amp; WILDLIFE Direct</t>
  </si>
  <si>
    <t>BUREAU OF RECLAMATION Direct</t>
  </si>
  <si>
    <t>Capital Input File Dates row need to be checked, and Match function has to start on the same row</t>
  </si>
  <si>
    <t>CORPS OF ENGINEERS Direct</t>
  </si>
  <si>
    <t>INFORMATION TECHNOLOGY Direct</t>
  </si>
  <si>
    <t>MAIN GRID Direct &amp; Indirects</t>
  </si>
  <si>
    <t>AREA &amp; CUSTOMER SERVICE Direct &amp; Indirects</t>
  </si>
  <si>
    <t>SYSTEM REPLACEMENTS Direct &amp; Indirects</t>
  </si>
  <si>
    <t>UPGRADES &amp; ADDITIONS Direct &amp; Indirects</t>
  </si>
  <si>
    <t>ENVIRONMENT CAPITAL Direct &amp; Indirects</t>
  </si>
  <si>
    <t>PFIA Direct &amp; Indirects</t>
  </si>
  <si>
    <t>Facilities Management Direct</t>
  </si>
  <si>
    <t>IT INFRASTRUCTURE PROJECTS Direct</t>
  </si>
  <si>
    <t>IT CORPT PROJECTS CAP Direct</t>
  </si>
  <si>
    <t>FY2021</t>
  </si>
  <si>
    <t>NON FEDERAL SUB-TOTAL + LGIA</t>
  </si>
  <si>
    <t>Subtot-LGIA</t>
  </si>
  <si>
    <t>Lease Purchase Bond</t>
  </si>
  <si>
    <t>Lease Purchase LOC</t>
  </si>
  <si>
    <t>CASH FROM TREASURY BORROWING AND APPROP.</t>
  </si>
  <si>
    <t>OTHER INCOME AND ADJUSTMENTS</t>
  </si>
  <si>
    <t>Per Danny Chen</t>
  </si>
  <si>
    <r>
      <t xml:space="preserve">4. Ancillary Services </t>
    </r>
    <r>
      <rPr>
        <sz val="10"/>
        <color theme="1"/>
        <rFont val="Arial"/>
        <family val="2"/>
      </rPr>
      <t>(Non-Between Business Line)</t>
    </r>
  </si>
  <si>
    <r>
      <t xml:space="preserve">7. Ancillary Services </t>
    </r>
    <r>
      <rPr>
        <sz val="10"/>
        <color theme="1"/>
        <rFont val="Arial"/>
        <family val="2"/>
      </rPr>
      <t>(Between Business Line)</t>
    </r>
  </si>
  <si>
    <r>
      <t xml:space="preserve">9. Capital Related Costs </t>
    </r>
    <r>
      <rPr>
        <b/>
        <vertAlign val="superscript"/>
        <sz val="11"/>
        <color theme="1"/>
        <rFont val="Arial"/>
        <family val="2"/>
      </rPr>
      <t>1/</t>
    </r>
  </si>
  <si>
    <r>
      <t xml:space="preserve">10. Total Revenue Requirement  (Lines 5+7+8) </t>
    </r>
    <r>
      <rPr>
        <b/>
        <vertAlign val="superscript"/>
        <sz val="11"/>
        <color theme="1"/>
        <rFont val="Arial"/>
        <family val="2"/>
      </rPr>
      <t>2/</t>
    </r>
  </si>
  <si>
    <r>
      <t xml:space="preserve">Ancillary Services </t>
    </r>
    <r>
      <rPr>
        <vertAlign val="superscript"/>
        <sz val="11"/>
        <color rgb="FFFF0000"/>
        <rFont val="Calibri"/>
        <family val="2"/>
        <scheme val="minor"/>
      </rPr>
      <t>1/</t>
    </r>
  </si>
  <si>
    <r>
      <t xml:space="preserve">Use of Reserves for Rate Relief </t>
    </r>
    <r>
      <rPr>
        <vertAlign val="superscript"/>
        <sz val="11"/>
        <color rgb="FFFF0000"/>
        <rFont val="Calibri"/>
        <family val="2"/>
        <scheme val="minor"/>
      </rPr>
      <t>2/</t>
    </r>
  </si>
  <si>
    <r>
      <t xml:space="preserve">     Capital Related Costs </t>
    </r>
    <r>
      <rPr>
        <b/>
        <vertAlign val="superscript"/>
        <sz val="11"/>
        <color rgb="FFFF0000"/>
        <rFont val="Calibri"/>
        <family val="2"/>
        <scheme val="minor"/>
      </rPr>
      <t>3/</t>
    </r>
  </si>
  <si>
    <r>
      <t xml:space="preserve">Total Change in Rates </t>
    </r>
    <r>
      <rPr>
        <sz val="10"/>
        <color rgb="FFFF0000"/>
        <rFont val="Calibri"/>
        <family val="2"/>
        <scheme val="minor"/>
      </rPr>
      <t>(Lines 5+8+13)</t>
    </r>
    <r>
      <rPr>
        <b/>
        <sz val="11"/>
        <color rgb="FFFF0000"/>
        <rFont val="Calibri"/>
        <family val="2"/>
        <scheme val="minor"/>
      </rPr>
      <t xml:space="preserve"> </t>
    </r>
    <r>
      <rPr>
        <b/>
        <vertAlign val="superscript"/>
        <sz val="11"/>
        <color rgb="FFFF0000"/>
        <rFont val="Calibri"/>
        <family val="2"/>
        <scheme val="minor"/>
      </rPr>
      <t xml:space="preserve">4/ </t>
    </r>
  </si>
  <si>
    <r>
      <t xml:space="preserve">Total Change in Rates </t>
    </r>
    <r>
      <rPr>
        <sz val="10"/>
        <color rgb="FFFF0000"/>
        <rFont val="Calibri"/>
        <family val="2"/>
        <scheme val="minor"/>
      </rPr>
      <t>(Row 10+11)</t>
    </r>
    <r>
      <rPr>
        <b/>
        <sz val="11"/>
        <color rgb="FFFF0000"/>
        <rFont val="Calibri"/>
        <family val="2"/>
        <scheme val="minor"/>
      </rPr>
      <t xml:space="preserve"> </t>
    </r>
    <r>
      <rPr>
        <b/>
        <vertAlign val="superscript"/>
        <sz val="11"/>
        <color rgb="FFFF0000"/>
        <rFont val="Calibri"/>
        <family val="2"/>
        <scheme val="minor"/>
      </rPr>
      <t xml:space="preserve">4/ </t>
    </r>
  </si>
  <si>
    <t>Superseded by Rates Crosswalk Tab?</t>
  </si>
  <si>
    <t>ASSETS (INCLUDE CORP ALLOCATION)</t>
  </si>
  <si>
    <t>NEW FEDERAL BORROWING</t>
  </si>
  <si>
    <t>NEW NON-FEDERAL BORROWING</t>
  </si>
  <si>
    <t>DEFERRED BORROWING</t>
  </si>
  <si>
    <t>NEW BPA-FINANCED INVESTMENT</t>
  </si>
  <si>
    <t>NEW NONBPA FINANCED INVESTMENT</t>
  </si>
  <si>
    <t>ASSET RETIREMENT</t>
  </si>
  <si>
    <t>ADJUSTMENTS TO DEPRECIATION</t>
  </si>
  <si>
    <t>ADDITIONAL REPAYMENT PER YEAR</t>
  </si>
  <si>
    <t>ADDITIONAL REPAYMENT PER RATE PERIOD</t>
  </si>
  <si>
    <t xml:space="preserve">Debt to Asset Ratio Calculation 
</t>
  </si>
  <si>
    <t>NOT OFFICIAL LEVERAGE POLICY CALC</t>
  </si>
  <si>
    <t>Margin</t>
  </si>
  <si>
    <t>MINIMUM REQUIRED NET REVENUE CALCULATION (Cash Flow)</t>
  </si>
  <si>
    <t>DSR Gapped Ungapped</t>
  </si>
  <si>
    <t xml:space="preserve">Hold to prior rate period </t>
  </si>
  <si>
    <t>CRC % of Total RR</t>
  </si>
  <si>
    <t>Energy Imbalance</t>
  </si>
  <si>
    <t>EIM Unallocated Charges</t>
  </si>
  <si>
    <t>Energy Imbalance Unallocated Charges</t>
  </si>
  <si>
    <t>ANCILLARY SERVICES PAYMENTS (BBL) "Gen Inputs"</t>
  </si>
  <si>
    <t xml:space="preserve">168 Hr In-kind Delay Losses Service </t>
  </si>
  <si>
    <t>TRANSMISSION LONG-TERM RATE FORECAST - CAPITAL INPUT FILE</t>
  </si>
  <si>
    <t>TOTAL TS CAPITAL (THIS INCLUDES PFIA - NOT FOR BORROWING OR REV REQ)</t>
  </si>
  <si>
    <t>Power: Direct Funding AFUDC</t>
  </si>
  <si>
    <t>Power: Capital Equip. AFUDC (IT &amp; Corporate)</t>
  </si>
  <si>
    <t>2021 AFUDC Rates Memo</t>
  </si>
  <si>
    <t>Lapse Factor</t>
  </si>
  <si>
    <t>DO NOT USE - FOR CALCULATION PURPOSES</t>
  </si>
  <si>
    <t>Main Grid</t>
  </si>
  <si>
    <t>Area &amp; Customer Service</t>
  </si>
  <si>
    <t>System Replacements</t>
  </si>
  <si>
    <t>Upgrades &amp; Additions</t>
  </si>
  <si>
    <t>Environmental Capital</t>
  </si>
  <si>
    <t>Fish &amp; Wildlife</t>
  </si>
  <si>
    <t>Power Information Technology</t>
  </si>
  <si>
    <t>Conservation Aquisition / EE - No longer capitalized</t>
  </si>
  <si>
    <t xml:space="preserve">Trans Lapse Factor </t>
  </si>
  <si>
    <t>Facilities Management</t>
  </si>
  <si>
    <t>IT Infrastructure Projects (Hardware / Equipment)</t>
  </si>
  <si>
    <t>IT Application/System Support (Software) - IT CORPT PROJECTS</t>
  </si>
  <si>
    <t>IT Power Application Systems (Charge 100% to Power)</t>
  </si>
  <si>
    <t>Power Total</t>
  </si>
  <si>
    <t>Transmission Total</t>
  </si>
  <si>
    <t>Corporate Total</t>
  </si>
  <si>
    <t>CORPS OF ENGINEERS + AFUDC</t>
  </si>
  <si>
    <t xml:space="preserve">         Revenue Financing (reduces borrowings)</t>
  </si>
  <si>
    <t>The way the Fedederal Summary of interest tab in Dynamic output is running doesn't seem to add totals together correctly</t>
  </si>
  <si>
    <t xml:space="preserve"> </t>
  </si>
  <si>
    <t>Leverage Kicker</t>
  </si>
  <si>
    <t xml:space="preserve">  PFIA (Excluded from Rate Case)</t>
  </si>
  <si>
    <t>FY2022</t>
  </si>
  <si>
    <t>FY2023</t>
  </si>
  <si>
    <t>TRANSMISSION LONG-TERM RATE FORECAST - SEGMENTED REVENUE REQUIREMENT</t>
  </si>
  <si>
    <r>
      <t>TRANSMISSION LONG-TERM RATE FORECAST -</t>
    </r>
    <r>
      <rPr>
        <b/>
        <sz val="14"/>
        <rFont val="Cambria"/>
        <family val="1"/>
      </rPr>
      <t xml:space="preserve"> 2023 Segmented</t>
    </r>
    <r>
      <rPr>
        <sz val="14"/>
        <rFont val="Cambria"/>
        <family val="1"/>
      </rPr>
      <t xml:space="preserve"> </t>
    </r>
    <r>
      <rPr>
        <b/>
        <sz val="14"/>
        <rFont val="Cambria"/>
        <family val="1"/>
      </rPr>
      <t>Revenue Requirement</t>
    </r>
  </si>
  <si>
    <r>
      <t xml:space="preserve">DIRECT DEPRECIATION </t>
    </r>
    <r>
      <rPr>
        <sz val="8"/>
        <rFont val="Cambria"/>
        <family val="1"/>
      </rPr>
      <t>(Including Customer Funded)</t>
    </r>
  </si>
  <si>
    <r>
      <t>TRANSMISSION LONG-TERM RATE FORECAST -</t>
    </r>
    <r>
      <rPr>
        <b/>
        <sz val="14"/>
        <rFont val="Cambria"/>
        <family val="1"/>
      </rPr>
      <t xml:space="preserve"> 2022 Segmented</t>
    </r>
    <r>
      <rPr>
        <sz val="14"/>
        <rFont val="Cambria"/>
        <family val="1"/>
      </rPr>
      <t xml:space="preserve"> </t>
    </r>
    <r>
      <rPr>
        <b/>
        <sz val="14"/>
        <rFont val="Cambria"/>
        <family val="1"/>
      </rPr>
      <t>Revenue Requirement</t>
    </r>
  </si>
  <si>
    <r>
      <t xml:space="preserve">TRANSMISSION LONG-TERM RATE FORECAST - </t>
    </r>
    <r>
      <rPr>
        <b/>
        <sz val="14"/>
        <rFont val="Cambria"/>
        <family val="1"/>
      </rPr>
      <t>EXPENSE INPUT FILE</t>
    </r>
  </si>
  <si>
    <r>
      <t xml:space="preserve">WECC/PEAK </t>
    </r>
    <r>
      <rPr>
        <i/>
        <sz val="11"/>
        <rFont val="Cambria"/>
        <family val="1"/>
      </rPr>
      <t>(PART OF TS ENGINEERING)</t>
    </r>
  </si>
  <si>
    <r>
      <t xml:space="preserve">TRANSMISSION LONG-TERM RATE FORECAST - </t>
    </r>
    <r>
      <rPr>
        <b/>
        <sz val="14"/>
        <rFont val="Cambria"/>
        <family val="1"/>
      </rPr>
      <t>REPAYMENT INPUT FILE</t>
    </r>
  </si>
  <si>
    <r>
      <t xml:space="preserve">TRANSMISSION LONG-TERM RATE FORECAST - </t>
    </r>
    <r>
      <rPr>
        <b/>
        <sz val="14"/>
        <rFont val="Cambria"/>
        <family val="1"/>
      </rPr>
      <t>AFUDC INPUT FILE</t>
    </r>
  </si>
  <si>
    <t>BP22 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</si>
</sst>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00000_);_(* \(#,##0.00000\);_(* &quot;-&quot;??_);_(@_)"/>
    <numFmt numFmtId="165" formatCode="_(* #,##0.0_);_(* \(#,##0.0\);_(* &quot;-&quot;_);_(@_)"/>
    <numFmt numFmtId="166" formatCode="0.000000"/>
    <numFmt numFmtId="167" formatCode="d\.mmm\.yy"/>
    <numFmt numFmtId="168" formatCode="0.00_)"/>
    <numFmt numFmtId="169" formatCode="0.0_)\%;\(0.0\)\%;0.0_)\%;@_)_%"/>
    <numFmt numFmtId="170" formatCode="#,##0.0_)_%;\(#,##0.0\)_%;0.0_)_%;@_)_%"/>
    <numFmt numFmtId="171" formatCode="#,##0.0_);\(#,##0.0\);#,##0.0_);@_)"/>
    <numFmt numFmtId="172" formatCode="&quot;$&quot;_(#,##0.00_);&quot;$&quot;\(#,##0.00\);&quot;$&quot;_(0.00_);@_)"/>
    <numFmt numFmtId="173" formatCode="#,##0.00_);\(#,##0.00\);0.00_);@_)"/>
    <numFmt numFmtId="174" formatCode="\€_(#,##0.00_);\€\(#,##0.00\);\€_(0.00_);@_)"/>
    <numFmt numFmtId="175" formatCode="#,##0.0_)\x;\(#,##0.0\)\x;0.0_)\x;@_)_x"/>
    <numFmt numFmtId="176" formatCode="#,##0.0_)_x;\(#,##0.0\)_x;0.0_)_x;@_)_x"/>
    <numFmt numFmtId="177" formatCode="_(* #,##0.00_);\(* #,##0.00\);_(* &quot;-&quot;??_);_(@_)"/>
    <numFmt numFmtId="178" formatCode="0.000%;;"/>
    <numFmt numFmtId="179" formatCode="_(* #,##0_);_(* \(#,##0\);_(* &quot;-&quot;??_);_(@_)"/>
    <numFmt numFmtId="180" formatCode="_(* #,##0.0000_);_(* \(#,##0.0000\);_(* &quot;-&quot;??_);_(@_)"/>
    <numFmt numFmtId="181" formatCode="_(* #,##0.0_);_(* \(#,##0.0\);_(* &quot;-&quot;??_);_(@_)"/>
    <numFmt numFmtId="182" formatCode="0.0%"/>
    <numFmt numFmtId="183" formatCode="0.0"/>
    <numFmt numFmtId="184" formatCode="_(* #,##0.000_);_(* \(#,##0.000\);_(* &quot;-&quot;??_);_(@_)"/>
    <numFmt numFmtId="185" formatCode="_(* #,##0.000000_);_(* \(#,##0.000000\);_(* &quot;-&quot;??_);_(@_)"/>
    <numFmt numFmtId="187" formatCode="_(&quot;$&quot;* #,##0_);_(&quot;$&quot;* \(#,##0\);_(&quot;$&quot;* &quot;-&quot;??_);_(@_)"/>
  </numFmts>
  <fonts count="194">
    <font>
      <sz val="11"/>
      <color theme="1"/>
      <name val="Calibri"/>
      <family val="2"/>
      <scheme val="minor"/>
    </font>
    <font>
      <sz val="11"/>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10"/>
      <name val="MS Sans Serif"/>
      <family val="2"/>
    </font>
    <font>
      <sz val="10"/>
      <name val="Arial"/>
      <family val="2"/>
    </font>
    <font>
      <sz val="8"/>
      <name val="Arial"/>
      <family val="2"/>
    </font>
    <font>
      <b/>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MS Sans Serif"/>
      <family val="2"/>
    </font>
    <font>
      <sz val="10"/>
      <name val="Tahoma"/>
      <family val="2"/>
    </font>
    <font>
      <sz val="10"/>
      <name val="Helv"/>
    </font>
    <font>
      <sz val="10"/>
      <name val="MS Serif"/>
      <family val="1"/>
    </font>
    <font>
      <sz val="10"/>
      <name val="Courier"/>
      <family val="3"/>
    </font>
    <font>
      <sz val="12"/>
      <color indexed="24"/>
      <name val="Arial"/>
      <family val="2"/>
    </font>
    <font>
      <b/>
      <sz val="12"/>
      <name val="Arial"/>
      <family val="2"/>
    </font>
    <font>
      <b/>
      <sz val="15"/>
      <color indexed="62"/>
      <name val="Calibri"/>
      <family val="2"/>
    </font>
    <font>
      <b/>
      <sz val="11"/>
      <color indexed="62"/>
      <name val="Calibri"/>
      <family val="2"/>
    </font>
    <font>
      <sz val="10"/>
      <color indexed="12"/>
      <name val="Arial"/>
      <family val="2"/>
    </font>
    <font>
      <sz val="7"/>
      <name val="Small Fonts"/>
      <family val="2"/>
    </font>
    <font>
      <b/>
      <i/>
      <sz val="16"/>
      <name val="Helv"/>
    </font>
    <font>
      <sz val="10"/>
      <name val="MS Sans Serif"/>
      <family val="2"/>
    </font>
    <font>
      <sz val="8"/>
      <name val="Helv"/>
    </font>
    <font>
      <b/>
      <sz val="8"/>
      <color indexed="8"/>
      <name val="Helv"/>
    </font>
    <font>
      <b/>
      <sz val="18"/>
      <color indexed="62"/>
      <name val="Cambria"/>
      <family val="2"/>
    </font>
    <font>
      <b/>
      <sz val="14"/>
      <color indexed="56"/>
      <name val="Arial"/>
      <family val="2"/>
    </font>
    <font>
      <u/>
      <sz val="10"/>
      <color indexed="12"/>
      <name val="Arial"/>
      <family val="2"/>
    </font>
    <font>
      <b/>
      <sz val="18"/>
      <color indexed="56"/>
      <name val="Cambria"/>
      <family val="2"/>
    </font>
    <font>
      <sz val="10"/>
      <color indexed="10"/>
      <name val="Arial"/>
      <family val="2"/>
    </font>
    <font>
      <b/>
      <sz val="10"/>
      <color indexed="9"/>
      <name val="Arial"/>
      <family val="2"/>
    </font>
    <font>
      <sz val="10"/>
      <color indexed="9"/>
      <name val="Arial"/>
      <family val="2"/>
    </font>
    <font>
      <b/>
      <sz val="10"/>
      <color indexed="8"/>
      <name val="Arial"/>
      <family val="2"/>
    </font>
    <font>
      <b/>
      <sz val="14"/>
      <color indexed="18"/>
      <name val="Arial"/>
      <family val="2"/>
    </font>
    <font>
      <sz val="10"/>
      <color indexed="8"/>
      <name val="Arial"/>
      <family val="2"/>
    </font>
    <font>
      <b/>
      <sz val="22"/>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1"/>
      <name val="Calibri"/>
      <family val="2"/>
    </font>
    <font>
      <sz val="10"/>
      <color indexed="20"/>
      <name val="Arial"/>
      <family val="2"/>
    </font>
    <font>
      <sz val="11"/>
      <color indexed="36"/>
      <name val="Calibri"/>
      <family val="2"/>
    </font>
    <font>
      <b/>
      <sz val="10"/>
      <color indexed="52"/>
      <name val="Arial"/>
      <family val="2"/>
    </font>
    <font>
      <b/>
      <sz val="11"/>
      <color indexed="11"/>
      <name val="Calibri"/>
      <family val="2"/>
    </font>
    <font>
      <sz val="8"/>
      <name val="Palatino"/>
      <family val="1"/>
    </font>
    <font>
      <b/>
      <sz val="10"/>
      <name val="Arial Unicode MS"/>
      <family val="2"/>
    </font>
    <font>
      <i/>
      <sz val="10"/>
      <color indexed="23"/>
      <name val="Arial"/>
      <family val="2"/>
    </font>
    <font>
      <i/>
      <sz val="11"/>
      <color indexed="55"/>
      <name val="Calibri"/>
      <family val="2"/>
    </font>
    <font>
      <sz val="8"/>
      <name val="Times New Roman"/>
      <family val="1"/>
    </font>
    <font>
      <sz val="10"/>
      <color indexed="17"/>
      <name val="Arial"/>
      <family val="2"/>
    </font>
    <font>
      <sz val="11"/>
      <color indexed="58"/>
      <name val="Calibri"/>
      <family val="2"/>
    </font>
    <font>
      <sz val="6"/>
      <color indexed="16"/>
      <name val="Palatino"/>
      <family val="1"/>
    </font>
    <font>
      <b/>
      <sz val="15"/>
      <color indexed="56"/>
      <name val="Arial"/>
      <family val="2"/>
    </font>
    <font>
      <b/>
      <sz val="15"/>
      <color indexed="21"/>
      <name val="Calibri"/>
      <family val="2"/>
    </font>
    <font>
      <b/>
      <sz val="13"/>
      <color indexed="56"/>
      <name val="Arial"/>
      <family val="2"/>
    </font>
    <font>
      <b/>
      <sz val="13"/>
      <color indexed="21"/>
      <name val="Calibri"/>
      <family val="2"/>
    </font>
    <font>
      <b/>
      <sz val="11"/>
      <color indexed="56"/>
      <name val="Arial"/>
      <family val="2"/>
    </font>
    <font>
      <b/>
      <sz val="11"/>
      <color indexed="21"/>
      <name val="Calibri"/>
      <family val="2"/>
    </font>
    <font>
      <u/>
      <sz val="11"/>
      <color indexed="12"/>
      <name val="Calibri"/>
      <family val="2"/>
    </font>
    <font>
      <sz val="10"/>
      <color indexed="62"/>
      <name val="Arial"/>
      <family val="2"/>
    </font>
    <font>
      <sz val="10"/>
      <color indexed="52"/>
      <name val="Arial"/>
      <family val="2"/>
    </font>
    <font>
      <sz val="10"/>
      <color indexed="60"/>
      <name val="Arial"/>
      <family val="2"/>
    </font>
    <font>
      <sz val="10"/>
      <name val="Arial Unicode MS"/>
      <family val="2"/>
    </font>
    <font>
      <b/>
      <sz val="10"/>
      <color indexed="63"/>
      <name val="Arial"/>
      <family val="2"/>
    </font>
    <font>
      <sz val="10"/>
      <color indexed="16"/>
      <name val="Helvetica-Black"/>
    </font>
    <font>
      <sz val="8"/>
      <color indexed="8"/>
      <name val="Times New Roman"/>
      <family val="1"/>
    </font>
    <font>
      <b/>
      <i/>
      <sz val="10"/>
      <name val="Times New Roman"/>
      <family val="1"/>
    </font>
    <font>
      <b/>
      <sz val="9"/>
      <name val="Palatino"/>
      <family val="1"/>
    </font>
    <font>
      <sz val="9"/>
      <color indexed="21"/>
      <name val="Helvetica-Black"/>
    </font>
    <font>
      <b/>
      <sz val="9"/>
      <name val="Arial"/>
      <family val="2"/>
    </font>
    <font>
      <b/>
      <sz val="18"/>
      <color indexed="21"/>
      <name val="Cambria"/>
      <family val="2"/>
    </font>
    <font>
      <u/>
      <sz val="10"/>
      <color theme="10"/>
      <name val="Arial"/>
      <family val="2"/>
    </font>
    <font>
      <b/>
      <sz val="14"/>
      <name val="Arial"/>
      <family val="2"/>
    </font>
    <font>
      <sz val="12"/>
      <name val="Times New Roman"/>
      <family val="1"/>
    </font>
    <font>
      <u/>
      <sz val="11"/>
      <color theme="10"/>
      <name val="Calibri"/>
      <family val="2"/>
      <scheme val="minor"/>
    </font>
    <font>
      <sz val="14"/>
      <name val="Arial"/>
      <family val="2"/>
    </font>
    <font>
      <b/>
      <sz val="10"/>
      <color theme="1"/>
      <name val="Arial"/>
      <family val="2"/>
    </font>
    <font>
      <u/>
      <sz val="11"/>
      <color theme="1"/>
      <name val="Calibri"/>
      <family val="2"/>
      <scheme val="minor"/>
    </font>
    <font>
      <sz val="10"/>
      <color indexed="8"/>
      <name val="Arial"/>
      <family val="2"/>
    </font>
    <font>
      <i/>
      <sz val="11"/>
      <color theme="1"/>
      <name val="Calibri"/>
      <family val="2"/>
      <scheme val="minor"/>
    </font>
    <font>
      <b/>
      <sz val="9"/>
      <color indexed="81"/>
      <name val="Tahoma"/>
      <family val="2"/>
    </font>
    <font>
      <sz val="10"/>
      <color theme="1"/>
      <name val="Calibri"/>
      <family val="2"/>
      <scheme val="minor"/>
    </font>
    <font>
      <sz val="11"/>
      <name val="Calibri"/>
      <family val="2"/>
      <scheme val="minor"/>
    </font>
    <font>
      <b/>
      <sz val="10"/>
      <color theme="1"/>
      <name val="Calibri"/>
      <family val="2"/>
      <scheme val="minor"/>
    </font>
    <font>
      <sz val="10"/>
      <name val="Calibri"/>
      <family val="2"/>
      <scheme val="minor"/>
    </font>
    <font>
      <sz val="14"/>
      <name val="Calibri"/>
      <family val="2"/>
      <scheme val="minor"/>
    </font>
    <font>
      <b/>
      <sz val="14"/>
      <name val="Calibri"/>
      <family val="2"/>
      <scheme val="minor"/>
    </font>
    <font>
      <b/>
      <sz val="10"/>
      <name val="Calibri"/>
      <family val="2"/>
      <scheme val="minor"/>
    </font>
    <font>
      <u/>
      <sz val="10"/>
      <name val="Calibri"/>
      <family val="2"/>
      <scheme val="minor"/>
    </font>
    <font>
      <sz val="9"/>
      <color indexed="81"/>
      <name val="Tahoma"/>
      <family val="2"/>
    </font>
    <font>
      <sz val="10"/>
      <name val="Times New Roman"/>
      <family val="1"/>
    </font>
    <font>
      <sz val="10"/>
      <name val="Arial"/>
      <family val="2"/>
    </font>
    <font>
      <sz val="10"/>
      <color indexed="63"/>
      <name val="Verdana"/>
      <family val="2"/>
    </font>
    <font>
      <sz val="10"/>
      <color indexed="8"/>
      <name val="Verdana"/>
      <family val="2"/>
    </font>
    <font>
      <b/>
      <sz val="10"/>
      <color indexed="9"/>
      <name val="Verdana"/>
      <family val="2"/>
    </font>
    <font>
      <b/>
      <sz val="10"/>
      <color indexed="63"/>
      <name val="Verdana"/>
      <family val="2"/>
    </font>
    <font>
      <sz val="11"/>
      <color rgb="FF000000"/>
      <name val="Calibri"/>
      <family val="2"/>
      <scheme val="minor"/>
    </font>
    <font>
      <sz val="11"/>
      <color theme="1"/>
      <name val="Arial"/>
      <family val="2"/>
    </font>
    <font>
      <b/>
      <sz val="11"/>
      <color theme="1"/>
      <name val="Arial"/>
      <family val="2"/>
    </font>
    <font>
      <u/>
      <sz val="11"/>
      <color theme="10"/>
      <name val="Arial"/>
      <family val="2"/>
    </font>
    <font>
      <sz val="11"/>
      <color rgb="FF7030A0"/>
      <name val="Arial"/>
      <family val="2"/>
    </font>
    <font>
      <sz val="11"/>
      <color theme="10"/>
      <name val="Arial"/>
      <family val="2"/>
    </font>
    <font>
      <sz val="11"/>
      <color rgb="FF00B050"/>
      <name val="Arial"/>
      <family val="2"/>
    </font>
    <font>
      <sz val="11"/>
      <color rgb="FFFF0000"/>
      <name val="Arial"/>
      <family val="2"/>
    </font>
    <font>
      <sz val="11"/>
      <color rgb="FF9B6943"/>
      <name val="Arial"/>
      <family val="2"/>
    </font>
    <font>
      <sz val="11"/>
      <color rgb="FFFF3399"/>
      <name val="Arial"/>
      <family val="2"/>
    </font>
    <font>
      <sz val="11"/>
      <color rgb="FF00B0F0"/>
      <name val="Arial"/>
      <family val="2"/>
    </font>
    <font>
      <sz val="11"/>
      <color theme="9" tint="-0.249977111117893"/>
      <name val="Arial"/>
      <family val="2"/>
    </font>
    <font>
      <i/>
      <sz val="11"/>
      <color theme="1"/>
      <name val="Arial"/>
      <family val="2"/>
    </font>
    <font>
      <sz val="11"/>
      <color rgb="FF0000FF"/>
      <name val="Arial"/>
      <family val="2"/>
    </font>
    <font>
      <sz val="11"/>
      <color theme="9" tint="-0.499984740745262"/>
      <name val="Arial"/>
      <family val="2"/>
    </font>
    <font>
      <u/>
      <sz val="11"/>
      <color theme="1"/>
      <name val="Arial"/>
      <family val="2"/>
    </font>
    <font>
      <sz val="11"/>
      <name val="Arial"/>
      <family val="2"/>
    </font>
    <font>
      <sz val="8"/>
      <color theme="1"/>
      <name val="Arial"/>
      <family val="2"/>
    </font>
    <font>
      <sz val="10"/>
      <color theme="1"/>
      <name val="Arial"/>
      <family val="2"/>
    </font>
    <font>
      <sz val="9"/>
      <color theme="1"/>
      <name val="Arial"/>
      <family val="2"/>
    </font>
    <font>
      <b/>
      <u/>
      <sz val="11"/>
      <color theme="1"/>
      <name val="Arial"/>
      <family val="2"/>
    </font>
    <font>
      <b/>
      <sz val="7"/>
      <name val="Arial"/>
      <family val="2"/>
      <charset val="238"/>
    </font>
    <font>
      <sz val="7"/>
      <name val="Arial"/>
      <family val="2"/>
      <charset val="238"/>
    </font>
    <font>
      <b/>
      <sz val="9"/>
      <color theme="0"/>
      <name val="Arial"/>
      <family val="2"/>
    </font>
    <font>
      <sz val="7"/>
      <color theme="0"/>
      <name val="Arial"/>
      <family val="2"/>
    </font>
    <font>
      <sz val="5"/>
      <color rgb="FF707C8A"/>
      <name val="Arial"/>
      <family val="2"/>
      <charset val="238"/>
    </font>
    <font>
      <sz val="11"/>
      <color theme="1"/>
      <name val="Century Gothic"/>
      <family val="2"/>
    </font>
    <font>
      <sz val="11"/>
      <color rgb="FFC00000"/>
      <name val="Arial"/>
      <family val="2"/>
    </font>
    <font>
      <b/>
      <sz val="16"/>
      <color rgb="FFFF0000"/>
      <name val="Arial"/>
      <family val="2"/>
    </font>
    <font>
      <sz val="10"/>
      <color rgb="FFFF0000"/>
      <name val="Arial"/>
      <family val="2"/>
    </font>
    <font>
      <sz val="11"/>
      <color rgb="FF0094C8"/>
      <name val="Arial"/>
      <family val="2"/>
    </font>
    <font>
      <b/>
      <i/>
      <sz val="10"/>
      <color theme="1"/>
      <name val="Arial"/>
      <family val="2"/>
    </font>
    <font>
      <b/>
      <i/>
      <sz val="9"/>
      <color theme="1"/>
      <name val="Arial"/>
      <family val="2"/>
    </font>
    <font>
      <b/>
      <sz val="11"/>
      <color rgb="FFFF3399"/>
      <name val="Arial"/>
      <family val="2"/>
    </font>
    <font>
      <b/>
      <sz val="11"/>
      <color theme="9" tint="-0.249977111117893"/>
      <name val="Arial"/>
      <family val="2"/>
    </font>
    <font>
      <b/>
      <sz val="14"/>
      <color theme="1"/>
      <name val="Arial"/>
      <family val="2"/>
    </font>
    <font>
      <b/>
      <i/>
      <sz val="11"/>
      <color theme="0" tint="-0.499984740745262"/>
      <name val="Arial"/>
      <family val="2"/>
    </font>
    <font>
      <i/>
      <sz val="11"/>
      <color theme="0" tint="-0.499984740745262"/>
      <name val="Arial"/>
      <family val="2"/>
    </font>
    <font>
      <sz val="11"/>
      <color theme="0" tint="-0.499984740745262"/>
      <name val="Arial"/>
      <family val="2"/>
    </font>
    <font>
      <b/>
      <sz val="9"/>
      <color theme="1"/>
      <name val="Arial"/>
      <family val="2"/>
    </font>
    <font>
      <sz val="11"/>
      <name val="Times New Roman"/>
      <family val="1"/>
    </font>
    <font>
      <b/>
      <sz val="8"/>
      <color theme="1"/>
      <name val="Arial"/>
      <family val="2"/>
    </font>
    <font>
      <b/>
      <vertAlign val="superscript"/>
      <sz val="11"/>
      <color theme="1"/>
      <name val="Arial"/>
      <family val="2"/>
    </font>
    <font>
      <b/>
      <sz val="11"/>
      <color rgb="FFFF0000"/>
      <name val="Calibri"/>
      <family val="2"/>
      <scheme val="minor"/>
    </font>
    <font>
      <b/>
      <sz val="10"/>
      <color rgb="FFFF0000"/>
      <name val="Calibri"/>
      <family val="2"/>
      <scheme val="minor"/>
    </font>
    <font>
      <sz val="10"/>
      <color rgb="FFFF0000"/>
      <name val="Calibri"/>
      <family val="2"/>
      <scheme val="minor"/>
    </font>
    <font>
      <vertAlign val="superscript"/>
      <sz val="11"/>
      <color rgb="FFFF0000"/>
      <name val="Calibri"/>
      <family val="2"/>
      <scheme val="minor"/>
    </font>
    <font>
      <b/>
      <vertAlign val="superscript"/>
      <sz val="11"/>
      <color rgb="FFFF0000"/>
      <name val="Calibri"/>
      <family val="2"/>
      <scheme val="minor"/>
    </font>
    <font>
      <b/>
      <sz val="8"/>
      <color rgb="FFFF0000"/>
      <name val="Calibri"/>
      <family val="2"/>
      <scheme val="minor"/>
    </font>
    <font>
      <sz val="8"/>
      <color rgb="FFFF0000"/>
      <name val="Calibri"/>
      <family val="2"/>
      <scheme val="minor"/>
    </font>
    <font>
      <sz val="14"/>
      <name val="Cambria"/>
      <family val="1"/>
    </font>
    <font>
      <b/>
      <sz val="14"/>
      <name val="Cambria"/>
      <family val="1"/>
    </font>
    <font>
      <sz val="11"/>
      <name val="Cambria"/>
      <family val="1"/>
    </font>
    <font>
      <b/>
      <sz val="10"/>
      <name val="Cambria"/>
      <family val="1"/>
    </font>
    <font>
      <u/>
      <sz val="10"/>
      <name val="Cambria"/>
      <family val="1"/>
    </font>
    <font>
      <u/>
      <sz val="11"/>
      <name val="Cambria"/>
      <family val="1"/>
    </font>
    <font>
      <b/>
      <sz val="11"/>
      <name val="Cambria"/>
      <family val="1"/>
    </font>
    <font>
      <sz val="10"/>
      <name val="Cambria"/>
      <family val="1"/>
    </font>
    <font>
      <b/>
      <u/>
      <sz val="11"/>
      <name val="Cambria"/>
      <family val="1"/>
    </font>
    <font>
      <sz val="8"/>
      <name val="Cambria"/>
      <family val="1"/>
    </font>
    <font>
      <i/>
      <sz val="11"/>
      <name val="Cambria"/>
      <family val="1"/>
    </font>
    <font>
      <b/>
      <i/>
      <sz val="10"/>
      <name val="Cambria"/>
      <family val="1"/>
    </font>
    <font>
      <b/>
      <sz val="9"/>
      <name val="Cambria"/>
      <family val="1"/>
    </font>
    <font>
      <b/>
      <i/>
      <sz val="11"/>
      <name val="Cambria"/>
      <family val="1"/>
    </font>
    <font>
      <sz val="18"/>
      <name val="Cambria"/>
      <family val="1"/>
    </font>
    <font>
      <sz val="12"/>
      <name val="Cambria"/>
      <family val="1"/>
    </font>
    <font>
      <b/>
      <sz val="16"/>
      <name val="Cambria"/>
      <family val="1"/>
    </font>
    <font>
      <b/>
      <sz val="12"/>
      <name val="Cambria"/>
      <family val="1"/>
    </font>
    <font>
      <i/>
      <sz val="10"/>
      <name val="Cambria"/>
      <family val="1"/>
    </font>
    <font>
      <sz val="22"/>
      <name val="Cambria"/>
      <family val="1"/>
    </font>
  </fonts>
  <fills count="8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31"/>
      </patternFill>
    </fill>
    <fill>
      <patternFill patternType="solid">
        <fgColor indexed="55"/>
      </patternFill>
    </fill>
    <fill>
      <patternFill patternType="solid">
        <fgColor indexed="17"/>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3"/>
      </patternFill>
    </fill>
    <fill>
      <patternFill patternType="solid">
        <fgColor indexed="44"/>
      </patternFill>
    </fill>
    <fill>
      <patternFill patternType="solid">
        <fgColor indexed="22"/>
      </patternFill>
    </fill>
    <fill>
      <patternFill patternType="solid">
        <fgColor indexed="16"/>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20"/>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mediumGray">
        <fgColor indexed="22"/>
      </patternFill>
    </fill>
    <fill>
      <patternFill patternType="gray0625">
        <fgColor indexed="8"/>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
      <patternFill patternType="solid">
        <fgColor indexed="63"/>
        <bgColor indexed="64"/>
      </patternFill>
    </fill>
    <fill>
      <patternFill patternType="solid">
        <fgColor theme="1" tint="0.499984740745262"/>
        <bgColor indexed="64"/>
      </patternFill>
    </fill>
    <fill>
      <patternFill patternType="solid">
        <fgColor rgb="FF707C8A"/>
        <bgColor indexed="64"/>
      </patternFill>
    </fill>
    <fill>
      <patternFill patternType="solid">
        <fgColor indexed="26"/>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16"/>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style="hair">
        <color indexed="64"/>
      </top>
      <bottom/>
      <diagonal/>
    </border>
    <border>
      <left/>
      <right/>
      <top style="thin">
        <color indexed="64"/>
      </top>
      <bottom/>
      <diagonal/>
    </border>
    <border>
      <left/>
      <right/>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rgb="FFC00000"/>
      </left>
      <right style="thin">
        <color rgb="FFC00000"/>
      </right>
      <top style="thin">
        <color rgb="FFC00000"/>
      </top>
      <bottom style="thin">
        <color rgb="FFC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5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right/>
      <top/>
      <bottom style="double">
        <color indexed="64"/>
      </bottom>
      <diagonal/>
    </border>
    <border>
      <left/>
      <right/>
      <top/>
      <bottom style="medium">
        <color rgb="FF707C8A"/>
      </bottom>
      <diagonal/>
    </border>
    <border>
      <left/>
      <right/>
      <top style="thin">
        <color rgb="FF707C8A"/>
      </top>
      <bottom style="thin">
        <color rgb="FF707C8A"/>
      </bottom>
      <diagonal/>
    </border>
    <border>
      <left/>
      <right/>
      <top style="thin">
        <color rgb="FF707C8A"/>
      </top>
      <bottom style="medium">
        <color rgb="FF707C8A"/>
      </bottom>
      <diagonal/>
    </border>
  </borders>
  <cellStyleXfs count="2437">
    <xf numFmtId="0" fontId="0" fillId="0" borderId="0"/>
    <xf numFmtId="0" fontId="19" fillId="0" borderId="0"/>
    <xf numFmtId="169" fontId="23" fillId="0" borderId="0" applyFont="0" applyFill="0" applyBorder="0" applyAlignment="0" applyProtection="0"/>
    <xf numFmtId="170" fontId="23" fillId="0" borderId="0" applyFont="0" applyFill="0" applyBorder="0" applyAlignment="0" applyProtection="0"/>
    <xf numFmtId="166" fontId="22" fillId="0" borderId="0">
      <alignment horizontal="left" wrapText="1"/>
    </xf>
    <xf numFmtId="171" fontId="23" fillId="0" borderId="0" applyFont="0" applyFill="0" applyBorder="0" applyAlignment="0" applyProtection="0"/>
    <xf numFmtId="164" fontId="22" fillId="0" borderId="0">
      <alignment horizontal="left" wrapText="1"/>
    </xf>
    <xf numFmtId="166" fontId="22" fillId="0" borderId="0">
      <alignment horizontal="left" wrapText="1"/>
    </xf>
    <xf numFmtId="172" fontId="23" fillId="0" borderId="0" applyFont="0" applyFill="0" applyBorder="0" applyAlignment="0" applyProtection="0"/>
    <xf numFmtId="173" fontId="23" fillId="0" borderId="0" applyFont="0" applyFill="0" applyBorder="0" applyAlignment="0" applyProtection="0"/>
    <xf numFmtId="174" fontId="23" fillId="0" borderId="0" applyFont="0" applyFill="0" applyBorder="0" applyAlignment="0" applyProtection="0"/>
    <xf numFmtId="166" fontId="22" fillId="0" borderId="0">
      <alignment horizontal="left" wrapText="1"/>
    </xf>
    <xf numFmtId="0" fontId="63" fillId="0" borderId="0" applyNumberFormat="0" applyFill="0" applyBorder="0" applyAlignment="0" applyProtection="0"/>
    <xf numFmtId="38" fontId="23" fillId="33" borderId="0" applyNumberFormat="0" applyFont="0" applyAlignment="0" applyProtection="0"/>
    <xf numFmtId="175" fontId="23" fillId="0" borderId="0" applyFont="0" applyFill="0" applyBorder="0" applyAlignment="0" applyProtection="0"/>
    <xf numFmtId="176" fontId="23" fillId="0" borderId="0" applyFont="0" applyFill="0" applyBorder="0" applyProtection="0">
      <alignment horizontal="right"/>
    </xf>
    <xf numFmtId="164" fontId="22" fillId="0" borderId="0">
      <alignment horizontal="left" wrapText="1"/>
    </xf>
    <xf numFmtId="166" fontId="22" fillId="0" borderId="0">
      <alignment horizontal="left" wrapText="1"/>
    </xf>
    <xf numFmtId="0" fontId="61" fillId="0" borderId="0" applyNumberFormat="0" applyFill="0" applyBorder="0" applyProtection="0">
      <alignment vertical="top"/>
    </xf>
    <xf numFmtId="38" fontId="64" fillId="0" borderId="10" applyNumberFormat="0" applyFill="0" applyAlignment="0" applyProtection="0"/>
    <xf numFmtId="38" fontId="64" fillId="0" borderId="10" applyNumberFormat="0" applyFill="0" applyAlignment="0" applyProtection="0"/>
    <xf numFmtId="38" fontId="65" fillId="0" borderId="11" applyNumberFormat="0" applyFill="0" applyProtection="0">
      <alignment horizontal="center"/>
    </xf>
    <xf numFmtId="38" fontId="65" fillId="0" borderId="11" applyNumberFormat="0" applyFill="0" applyProtection="0">
      <alignment horizontal="center"/>
    </xf>
    <xf numFmtId="38" fontId="65" fillId="0" borderId="0" applyNumberFormat="0" applyFill="0" applyBorder="0" applyProtection="0">
      <alignment horizontal="left"/>
    </xf>
    <xf numFmtId="38" fontId="66" fillId="0" borderId="0" applyNumberFormat="0" applyFill="0" applyBorder="0" applyProtection="0">
      <alignment horizontal="centerContinuous"/>
    </xf>
    <xf numFmtId="164" fontId="22" fillId="0" borderId="0">
      <alignment horizontal="left" wrapText="1"/>
    </xf>
    <xf numFmtId="0" fontId="25" fillId="35" borderId="0" applyNumberFormat="0" applyBorder="0" applyAlignment="0" applyProtection="0"/>
    <xf numFmtId="0" fontId="25" fillId="35" borderId="0" applyNumberFormat="0" applyBorder="0" applyAlignment="0" applyProtection="0"/>
    <xf numFmtId="0" fontId="26" fillId="36" borderId="0" applyNumberFormat="0" applyBorder="0" applyAlignment="0" applyProtection="0"/>
    <xf numFmtId="0" fontId="25" fillId="35" borderId="0" applyNumberFormat="0" applyBorder="0" applyAlignment="0" applyProtection="0"/>
    <xf numFmtId="0" fontId="62" fillId="34" borderId="0" applyNumberFormat="0" applyBorder="0" applyAlignment="0" applyProtection="0"/>
    <xf numFmtId="0" fontId="25" fillId="3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62" fillId="37"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62" fillId="39"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6" fillId="36" borderId="0" applyNumberFormat="0" applyBorder="0" applyAlignment="0" applyProtection="0"/>
    <xf numFmtId="0" fontId="25" fillId="35" borderId="0" applyNumberFormat="0" applyBorder="0" applyAlignment="0" applyProtection="0"/>
    <xf numFmtId="0" fontId="62" fillId="41" borderId="0" applyNumberFormat="0" applyBorder="0" applyAlignment="0" applyProtection="0"/>
    <xf numFmtId="0" fontId="25" fillId="3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6" fillId="43" borderId="0" applyNumberFormat="0" applyBorder="0" applyAlignment="0" applyProtection="0"/>
    <xf numFmtId="0" fontId="25" fillId="42" borderId="0" applyNumberFormat="0" applyBorder="0" applyAlignment="0" applyProtection="0"/>
    <xf numFmtId="0" fontId="62" fillId="42" borderId="0" applyNumberFormat="0" applyBorder="0" applyAlignment="0" applyProtection="0"/>
    <xf numFmtId="0" fontId="25" fillId="42"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62"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6" fillId="46" borderId="0" applyNumberFormat="0" applyBorder="0" applyAlignment="0" applyProtection="0"/>
    <xf numFmtId="0" fontId="25" fillId="45" borderId="0" applyNumberFormat="0" applyBorder="0" applyAlignment="0" applyProtection="0"/>
    <xf numFmtId="0" fontId="62" fillId="44" borderId="0" applyNumberFormat="0" applyBorder="0" applyAlignment="0" applyProtection="0"/>
    <xf numFmtId="0" fontId="25" fillId="4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25" fillId="47" borderId="0" applyNumberFormat="0" applyBorder="0" applyAlignment="0" applyProtection="0"/>
    <xf numFmtId="0" fontId="62" fillId="47"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6" fillId="33" borderId="0" applyNumberFormat="0" applyBorder="0" applyAlignment="0" applyProtection="0"/>
    <xf numFmtId="0" fontId="25" fillId="33" borderId="0" applyNumberFormat="0" applyBorder="0" applyAlignment="0" applyProtection="0"/>
    <xf numFmtId="0" fontId="62" fillId="48" borderId="0" applyNumberFormat="0" applyBorder="0" applyAlignment="0" applyProtection="0"/>
    <xf numFmtId="0" fontId="25"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62" fillId="41"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6" fillId="43" borderId="0" applyNumberFormat="0" applyBorder="0" applyAlignment="0" applyProtection="0"/>
    <xf numFmtId="0" fontId="25" fillId="44" borderId="0" applyNumberFormat="0" applyBorder="0" applyAlignment="0" applyProtection="0"/>
    <xf numFmtId="0" fontId="62" fillId="44" borderId="0" applyNumberFormat="0" applyBorder="0" applyAlignment="0" applyProtection="0"/>
    <xf numFmtId="0" fontId="25" fillId="44"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62" fillId="49"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67" fillId="51" borderId="0" applyNumberFormat="0" applyBorder="0" applyAlignment="0" applyProtection="0"/>
    <xf numFmtId="0" fontId="26" fillId="51" borderId="0" applyNumberFormat="0" applyBorder="0" applyAlignment="0" applyProtection="0"/>
    <xf numFmtId="0" fontId="59"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67" fillId="47" borderId="0" applyNumberFormat="0" applyBorder="0" applyAlignment="0" applyProtection="0"/>
    <xf numFmtId="0" fontId="26" fillId="47" borderId="0" applyNumberFormat="0" applyBorder="0" applyAlignment="0" applyProtection="0"/>
    <xf numFmtId="0" fontId="59"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67" fillId="33" borderId="0" applyNumberFormat="0" applyBorder="0" applyAlignment="0" applyProtection="0"/>
    <xf numFmtId="0" fontId="26" fillId="33" borderId="0" applyNumberFormat="0" applyBorder="0" applyAlignment="0" applyProtection="0"/>
    <xf numFmtId="0" fontId="59" fillId="48"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67" fillId="45" borderId="0" applyNumberFormat="0" applyBorder="0" applyAlignment="0" applyProtection="0"/>
    <xf numFmtId="0" fontId="26" fillId="45" borderId="0" applyNumberFormat="0" applyBorder="0" applyAlignment="0" applyProtection="0"/>
    <xf numFmtId="0" fontId="59" fillId="52"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67" fillId="51" borderId="0" applyNumberFormat="0" applyBorder="0" applyAlignment="0" applyProtection="0"/>
    <xf numFmtId="0" fontId="26" fillId="51" borderId="0" applyNumberFormat="0" applyBorder="0" applyAlignment="0" applyProtection="0"/>
    <xf numFmtId="0" fontId="59"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67" fillId="54" borderId="0" applyNumberFormat="0" applyBorder="0" applyAlignment="0" applyProtection="0"/>
    <xf numFmtId="0" fontId="26" fillId="38" borderId="0" applyNumberFormat="0" applyBorder="0" applyAlignment="0" applyProtection="0"/>
    <xf numFmtId="0" fontId="59"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67" fillId="51" borderId="0" applyNumberFormat="0" applyBorder="0" applyAlignment="0" applyProtection="0"/>
    <xf numFmtId="0" fontId="26" fillId="51" borderId="0" applyNumberFormat="0" applyBorder="0" applyAlignment="0" applyProtection="0"/>
    <xf numFmtId="0" fontId="59" fillId="55"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67" fillId="56" borderId="0" applyNumberFormat="0" applyBorder="0" applyAlignment="0" applyProtection="0"/>
    <xf numFmtId="0" fontId="26" fillId="56" borderId="0" applyNumberFormat="0" applyBorder="0" applyAlignment="0" applyProtection="0"/>
    <xf numFmtId="0" fontId="59"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67" fillId="57" borderId="0" applyNumberFormat="0" applyBorder="0" applyAlignment="0" applyProtection="0"/>
    <xf numFmtId="0" fontId="26" fillId="57" borderId="0" applyNumberFormat="0" applyBorder="0" applyAlignment="0" applyProtection="0"/>
    <xf numFmtId="0" fontId="59"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67" fillId="58" borderId="0" applyNumberFormat="0" applyBorder="0" applyAlignment="0" applyProtection="0"/>
    <xf numFmtId="0" fontId="26" fillId="58" borderId="0" applyNumberFormat="0" applyBorder="0" applyAlignment="0" applyProtection="0"/>
    <xf numFmtId="0" fontId="59" fillId="52"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67" fillId="51" borderId="0" applyNumberFormat="0" applyBorder="0" applyAlignment="0" applyProtection="0"/>
    <xf numFmtId="0" fontId="26" fillId="51" borderId="0" applyNumberFormat="0" applyBorder="0" applyAlignment="0" applyProtection="0"/>
    <xf numFmtId="0" fontId="59"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67" fillId="59" borderId="0" applyNumberFormat="0" applyBorder="0" applyAlignment="0" applyProtection="0"/>
    <xf numFmtId="0" fontId="26" fillId="59" borderId="0" applyNumberFormat="0" applyBorder="0" applyAlignment="0" applyProtection="0"/>
    <xf numFmtId="0" fontId="59"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47" fillId="0" borderId="0" applyNumberFormat="0" applyFill="0" applyBorder="0" applyAlignment="0">
      <protection locked="0"/>
    </xf>
    <xf numFmtId="0" fontId="27" fillId="37" borderId="0" applyNumberFormat="0" applyBorder="0" applyAlignment="0" applyProtection="0"/>
    <xf numFmtId="0" fontId="27" fillId="37" borderId="0" applyNumberFormat="0" applyBorder="0" applyAlignment="0" applyProtection="0"/>
    <xf numFmtId="0" fontId="69" fillId="37" borderId="0" applyNumberFormat="0" applyBorder="0" applyAlignment="0" applyProtection="0"/>
    <xf numFmtId="0" fontId="27" fillId="37" borderId="0" applyNumberFormat="0" applyBorder="0" applyAlignment="0" applyProtection="0"/>
    <xf numFmtId="0" fontId="68"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167" fontId="38" fillId="0" borderId="0" applyFill="0" applyBorder="0" applyAlignment="0"/>
    <xf numFmtId="0" fontId="28" fillId="35" borderId="12" applyNumberFormat="0" applyAlignment="0" applyProtection="0"/>
    <xf numFmtId="0" fontId="28" fillId="35" borderId="12" applyNumberFormat="0" applyAlignment="0" applyProtection="0"/>
    <xf numFmtId="0" fontId="28" fillId="48" borderId="13" applyNumberFormat="0" applyAlignment="0" applyProtection="0"/>
    <xf numFmtId="0" fontId="28" fillId="35" borderId="12" applyNumberFormat="0" applyAlignment="0" applyProtection="0"/>
    <xf numFmtId="0" fontId="70" fillId="45" borderId="12" applyNumberFormat="0" applyAlignment="0" applyProtection="0"/>
    <xf numFmtId="0" fontId="28" fillId="48" borderId="13" applyNumberFormat="0" applyAlignment="0" applyProtection="0"/>
    <xf numFmtId="0" fontId="28" fillId="48" borderId="13" applyNumberFormat="0" applyAlignment="0" applyProtection="0"/>
    <xf numFmtId="0" fontId="70" fillId="45" borderId="12" applyNumberFormat="0" applyAlignment="0" applyProtection="0"/>
    <xf numFmtId="0" fontId="28" fillId="48" borderId="13" applyNumberFormat="0" applyAlignment="0" applyProtection="0"/>
    <xf numFmtId="0" fontId="70" fillId="45" borderId="12" applyNumberFormat="0" applyAlignment="0" applyProtection="0"/>
    <xf numFmtId="0" fontId="29" fillId="45" borderId="14" applyNumberFormat="0" applyAlignment="0" applyProtection="0"/>
    <xf numFmtId="0" fontId="29" fillId="45" borderId="14" applyNumberFormat="0" applyAlignment="0" applyProtection="0"/>
    <xf numFmtId="0" fontId="71" fillId="35" borderId="14" applyNumberFormat="0" applyAlignment="0" applyProtection="0"/>
    <xf numFmtId="0" fontId="29" fillId="45" borderId="14" applyNumberFormat="0" applyAlignment="0" applyProtection="0"/>
    <xf numFmtId="0" fontId="58" fillId="35" borderId="14" applyNumberFormat="0" applyAlignment="0" applyProtection="0"/>
    <xf numFmtId="0" fontId="71" fillId="35" borderId="14" applyNumberFormat="0" applyAlignment="0" applyProtection="0"/>
    <xf numFmtId="0" fontId="71" fillId="35" borderId="14" applyNumberFormat="0" applyAlignment="0" applyProtection="0"/>
    <xf numFmtId="0" fontId="58" fillId="35" borderId="14" applyNumberFormat="0" applyAlignment="0" applyProtection="0"/>
    <xf numFmtId="0" fontId="71" fillId="35" borderId="14" applyNumberFormat="0" applyAlignment="0" applyProtection="0"/>
    <xf numFmtId="0" fontId="58" fillId="35" borderId="14" applyNumberFormat="0" applyAlignment="0" applyProtection="0"/>
    <xf numFmtId="43" fontId="19" fillId="0" borderId="0" applyFont="0" applyFill="0" applyBorder="0" applyAlignment="0" applyProtection="0"/>
    <xf numFmtId="0" fontId="72" fillId="0" borderId="0" applyFont="0" applyFill="0" applyBorder="0" applyAlignment="0" applyProtection="0">
      <alignment horizontal="right"/>
    </xf>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72" fillId="0" borderId="0" applyFont="0" applyFill="0" applyBorder="0" applyAlignment="0" applyProtection="0">
      <alignment horizontal="right"/>
    </xf>
    <xf numFmtId="0" fontId="72" fillId="0" borderId="0" applyFont="0" applyFill="0" applyBorder="0" applyAlignment="0" applyProtection="0">
      <alignment horizontal="right"/>
    </xf>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72" fillId="0" borderId="0" applyFont="0" applyFill="0" applyBorder="0" applyAlignment="0" applyProtection="0">
      <alignment horizontal="right"/>
    </xf>
    <xf numFmtId="0" fontId="72" fillId="0" borderId="0" applyFont="0" applyFill="0" applyBorder="0" applyAlignment="0" applyProtection="0">
      <alignment horizontal="right"/>
    </xf>
    <xf numFmtId="43" fontId="22" fillId="0" borderId="0" applyFont="0" applyFill="0" applyBorder="0" applyAlignment="0" applyProtection="0"/>
    <xf numFmtId="43" fontId="39"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39"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73" fillId="0" borderId="0" applyFont="0" applyFill="0" applyBorder="0" applyAlignment="0" applyProtection="0"/>
    <xf numFmtId="43" fontId="22" fillId="0" borderId="0" applyFont="0" applyFill="0" applyBorder="0" applyAlignment="0" applyProtection="0"/>
    <xf numFmtId="43" fontId="73"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7" fontId="20"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3" fontId="22" fillId="0" borderId="0" applyFont="0" applyFill="0" applyBorder="0" applyAlignment="0" applyProtection="0"/>
    <xf numFmtId="0" fontId="40" fillId="0" borderId="0"/>
    <xf numFmtId="0" fontId="41" fillId="0" borderId="0" applyNumberFormat="0" applyAlignment="0">
      <alignment horizontal="left"/>
    </xf>
    <xf numFmtId="0" fontId="42" fillId="0" borderId="0" applyNumberFormat="0" applyAlignment="0"/>
    <xf numFmtId="0" fontId="40" fillId="0" borderId="0"/>
    <xf numFmtId="0" fontId="40" fillId="0" borderId="0"/>
    <xf numFmtId="44" fontId="19" fillId="0" borderId="0" applyFont="0" applyFill="0" applyBorder="0" applyAlignment="0" applyProtection="0"/>
    <xf numFmtId="0" fontId="72" fillId="0" borderId="0" applyFont="0" applyFill="0" applyBorder="0" applyAlignment="0" applyProtection="0">
      <alignment horizontal="right"/>
    </xf>
    <xf numFmtId="44" fontId="22" fillId="0" borderId="0" applyFont="0" applyFill="0" applyBorder="0" applyAlignment="0" applyProtection="0"/>
    <xf numFmtId="0" fontId="72" fillId="0" borderId="0" applyFont="0" applyFill="0" applyBorder="0" applyAlignment="0" applyProtection="0">
      <alignment horizontal="right"/>
    </xf>
    <xf numFmtId="44" fontId="22" fillId="0" borderId="0" applyFont="0" applyFill="0" applyBorder="0" applyAlignment="0" applyProtection="0"/>
    <xf numFmtId="0" fontId="72"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5" fontId="22"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0" fontId="72" fillId="0" borderId="0" applyFont="0" applyFill="0" applyBorder="0" applyAlignment="0" applyProtection="0"/>
    <xf numFmtId="0" fontId="72" fillId="0" borderId="15" applyNumberFormat="0" applyFont="0" applyFill="0" applyAlignment="0" applyProtection="0"/>
    <xf numFmtId="166" fontId="22" fillId="0" borderId="0"/>
    <xf numFmtId="0" fontId="30" fillId="0" borderId="0" applyNumberFormat="0" applyFill="0" applyBorder="0" applyAlignment="0" applyProtection="0"/>
    <xf numFmtId="0" fontId="30" fillId="0" borderId="0" applyNumberFormat="0" applyFill="0" applyBorder="0" applyAlignment="0" applyProtection="0"/>
    <xf numFmtId="0" fontId="75" fillId="0" borderId="0" applyNumberFormat="0" applyFill="0" applyBorder="0" applyAlignment="0" applyProtection="0"/>
    <xf numFmtId="0" fontId="30"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 fontId="43" fillId="0" borderId="0" applyFont="0" applyFill="0" applyBorder="0" applyAlignment="0" applyProtection="0"/>
    <xf numFmtId="0" fontId="40" fillId="0" borderId="0"/>
    <xf numFmtId="0" fontId="76" fillId="0" borderId="0" applyFill="0" applyBorder="0" applyProtection="0">
      <alignment horizontal="left"/>
    </xf>
    <xf numFmtId="0" fontId="31" fillId="39" borderId="0" applyNumberFormat="0" applyBorder="0" applyAlignment="0" applyProtection="0"/>
    <xf numFmtId="0" fontId="31" fillId="39" borderId="0" applyNumberFormat="0" applyBorder="0" applyAlignment="0" applyProtection="0"/>
    <xf numFmtId="0" fontId="78" fillId="43" borderId="0" applyNumberFormat="0" applyBorder="0" applyAlignment="0" applyProtection="0"/>
    <xf numFmtId="0" fontId="31" fillId="39" borderId="0" applyNumberFormat="0" applyBorder="0" applyAlignment="0" applyProtection="0"/>
    <xf numFmtId="0" fontId="77" fillId="39"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38" fontId="23" fillId="60" borderId="0" applyNumberFormat="0" applyBorder="0" applyAlignment="0" applyProtection="0"/>
    <xf numFmtId="38" fontId="23" fillId="60" borderId="0" applyNumberFormat="0" applyBorder="0" applyAlignment="0" applyProtection="0"/>
    <xf numFmtId="0" fontId="72" fillId="0" borderId="0" applyFont="0" applyFill="0" applyBorder="0" applyAlignment="0" applyProtection="0">
      <alignment horizontal="right"/>
    </xf>
    <xf numFmtId="0" fontId="79" fillId="0" borderId="0" applyProtection="0">
      <alignment horizontal="right"/>
    </xf>
    <xf numFmtId="0" fontId="44" fillId="0" borderId="16" applyNumberFormat="0" applyAlignment="0" applyProtection="0">
      <alignment horizontal="left"/>
    </xf>
    <xf numFmtId="0" fontId="44" fillId="0" borderId="17">
      <alignment horizontal="left"/>
    </xf>
    <xf numFmtId="0" fontId="45" fillId="0" borderId="19" applyNumberFormat="0" applyFill="0" applyAlignment="0" applyProtection="0"/>
    <xf numFmtId="0" fontId="45" fillId="0" borderId="19" applyNumberFormat="0" applyFill="0" applyAlignment="0" applyProtection="0"/>
    <xf numFmtId="0" fontId="45" fillId="0" borderId="19" applyNumberFormat="0" applyFill="0" applyAlignment="0" applyProtection="0"/>
    <xf numFmtId="0" fontId="80" fillId="0" borderId="18" applyNumberFormat="0" applyFill="0" applyAlignment="0" applyProtection="0"/>
    <xf numFmtId="0" fontId="81" fillId="0" borderId="19" applyNumberFormat="0" applyFill="0" applyAlignment="0" applyProtection="0"/>
    <xf numFmtId="0" fontId="81" fillId="0" borderId="19" applyNumberFormat="0" applyFill="0" applyAlignment="0" applyProtection="0"/>
    <xf numFmtId="0" fontId="80" fillId="0" borderId="18" applyNumberFormat="0" applyFill="0" applyAlignment="0" applyProtection="0"/>
    <xf numFmtId="0" fontId="81" fillId="0" borderId="19" applyNumberFormat="0" applyFill="0" applyAlignment="0" applyProtection="0"/>
    <xf numFmtId="0" fontId="80" fillId="0" borderId="18" applyNumberForma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82" fillId="0" borderId="20"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2" fillId="0" borderId="20" applyNumberFormat="0" applyFill="0" applyAlignment="0" applyProtection="0"/>
    <xf numFmtId="0" fontId="83" fillId="0" borderId="21" applyNumberFormat="0" applyFill="0" applyAlignment="0" applyProtection="0"/>
    <xf numFmtId="0" fontId="82" fillId="0" borderId="20"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84" fillId="0" borderId="22"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4" fillId="0" borderId="22" applyNumberFormat="0" applyFill="0" applyAlignment="0" applyProtection="0"/>
    <xf numFmtId="0" fontId="85" fillId="0" borderId="23" applyNumberFormat="0" applyFill="0" applyAlignment="0" applyProtection="0"/>
    <xf numFmtId="0" fontId="84" fillId="0" borderId="22"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38" fontId="24" fillId="0" borderId="0"/>
    <xf numFmtId="40" fontId="24" fillId="0" borderId="0"/>
    <xf numFmtId="0" fontId="55" fillId="0" borderId="0" applyNumberFormat="0" applyFill="0" applyBorder="0" applyAlignment="0" applyProtection="0">
      <alignment vertical="top"/>
      <protection locked="0"/>
    </xf>
    <xf numFmtId="0" fontId="86" fillId="0" borderId="0" applyNumberFormat="0" applyFill="0" applyBorder="0" applyAlignment="0" applyProtection="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0" fontId="23" fillId="61" borderId="24" applyNumberFormat="0" applyBorder="0" applyAlignment="0" applyProtection="0"/>
    <xf numFmtId="10" fontId="23" fillId="61" borderId="24" applyNumberFormat="0" applyBorder="0" applyAlignment="0" applyProtection="0"/>
    <xf numFmtId="0" fontId="32" fillId="38" borderId="12" applyNumberFormat="0" applyAlignment="0" applyProtection="0"/>
    <xf numFmtId="0" fontId="32" fillId="38" borderId="12" applyNumberFormat="0" applyAlignment="0" applyProtection="0"/>
    <xf numFmtId="0" fontId="32" fillId="38" borderId="13" applyNumberFormat="0" applyAlignment="0" applyProtection="0"/>
    <xf numFmtId="0" fontId="32" fillId="38" borderId="12" applyNumberFormat="0" applyAlignment="0" applyProtection="0"/>
    <xf numFmtId="0" fontId="87" fillId="38" borderId="12" applyNumberFormat="0" applyAlignment="0" applyProtection="0"/>
    <xf numFmtId="0" fontId="32" fillId="38" borderId="13" applyNumberFormat="0" applyAlignment="0" applyProtection="0"/>
    <xf numFmtId="0" fontId="32" fillId="38" borderId="13" applyNumberFormat="0" applyAlignment="0" applyProtection="0"/>
    <xf numFmtId="0" fontId="87" fillId="38" borderId="12" applyNumberFormat="0" applyAlignment="0" applyProtection="0"/>
    <xf numFmtId="0" fontId="32" fillId="38" borderId="13" applyNumberFormat="0" applyAlignment="0" applyProtection="0"/>
    <xf numFmtId="0" fontId="32" fillId="38" borderId="12" applyNumberFormat="0" applyAlignment="0" applyProtection="0"/>
    <xf numFmtId="0" fontId="32" fillId="38" borderId="12" applyNumberFormat="0" applyAlignment="0" applyProtection="0"/>
    <xf numFmtId="0" fontId="32" fillId="38" borderId="12" applyNumberFormat="0" applyAlignment="0" applyProtection="0"/>
    <xf numFmtId="0" fontId="32" fillId="38" borderId="12" applyNumberFormat="0" applyAlignment="0" applyProtection="0"/>
    <xf numFmtId="0" fontId="32" fillId="38" borderId="12" applyNumberFormat="0" applyAlignment="0" applyProtection="0"/>
    <xf numFmtId="0" fontId="87" fillId="38" borderId="12" applyNumberFormat="0" applyAlignment="0" applyProtection="0"/>
    <xf numFmtId="41" fontId="47" fillId="62" borderId="25">
      <alignment horizontal="left"/>
      <protection locked="0"/>
    </xf>
    <xf numFmtId="0" fontId="23" fillId="60" borderId="0"/>
    <xf numFmtId="0" fontId="23" fillId="60" borderId="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88" fillId="0" borderId="26" applyNumberFormat="0" applyFill="0" applyAlignment="0" applyProtection="0"/>
    <xf numFmtId="0" fontId="33" fillId="0" borderId="26" applyNumberFormat="0" applyFill="0" applyAlignment="0" applyProtection="0"/>
    <xf numFmtId="0" fontId="88" fillId="0" borderId="26" applyNumberFormat="0" applyFill="0" applyAlignment="0" applyProtection="0"/>
    <xf numFmtId="0" fontId="33" fillId="0" borderId="26" applyNumberFormat="0" applyFill="0" applyAlignment="0" applyProtection="0"/>
    <xf numFmtId="0" fontId="88" fillId="0" borderId="26" applyNumberFormat="0" applyFill="0" applyAlignment="0" applyProtection="0"/>
    <xf numFmtId="44" fontId="20" fillId="0" borderId="27" applyNumberFormat="0" applyFont="0" applyAlignment="0">
      <alignment horizontal="center"/>
    </xf>
    <xf numFmtId="44" fontId="20" fillId="0" borderId="28" applyNumberFormat="0" applyFont="0" applyAlignment="0">
      <alignment horizontal="center"/>
    </xf>
    <xf numFmtId="0" fontId="72" fillId="0" borderId="0" applyFont="0" applyFill="0" applyBorder="0" applyAlignment="0" applyProtection="0">
      <alignment horizontal="right"/>
    </xf>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89" fillId="33" borderId="0" applyNumberFormat="0" applyBorder="0" applyAlignment="0" applyProtection="0"/>
    <xf numFmtId="0" fontId="34"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37" fontId="48" fillId="0" borderId="0"/>
    <xf numFmtId="168" fontId="49"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5" fillId="0" borderId="0"/>
    <xf numFmtId="0" fontId="25" fillId="0" borderId="0"/>
    <xf numFmtId="0" fontId="2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2" fillId="0" borderId="0"/>
    <xf numFmtId="0" fontId="2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22" fillId="0" borderId="0"/>
    <xf numFmtId="0" fontId="22" fillId="0" borderId="0"/>
    <xf numFmtId="0" fontId="22" fillId="0" borderId="0"/>
    <xf numFmtId="0" fontId="22" fillId="0" borderId="0"/>
    <xf numFmtId="0" fontId="2" fillId="0" borderId="0"/>
    <xf numFmtId="0" fontId="25" fillId="0" borderId="0"/>
    <xf numFmtId="0" fontId="25" fillId="0" borderId="0"/>
    <xf numFmtId="0" fontId="2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90" fillId="0" borderId="0"/>
    <xf numFmtId="0" fontId="23" fillId="0" borderId="0"/>
    <xf numFmtId="0" fontId="90" fillId="0" borderId="0"/>
    <xf numFmtId="0" fontId="23" fillId="0" borderId="0"/>
    <xf numFmtId="0" fontId="22" fillId="0" borderId="0"/>
    <xf numFmtId="0" fontId="25" fillId="0" borderId="0"/>
    <xf numFmtId="0" fontId="22" fillId="0" borderId="0"/>
    <xf numFmtId="0" fontId="23" fillId="0" borderId="0"/>
    <xf numFmtId="0" fontId="22" fillId="0" borderId="0"/>
    <xf numFmtId="0" fontId="23"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2" fillId="0" borderId="0"/>
    <xf numFmtId="0" fontId="2" fillId="0" borderId="0"/>
    <xf numFmtId="0" fontId="25" fillId="0" borderId="0"/>
    <xf numFmtId="0" fontId="39" fillId="0" borderId="0"/>
    <xf numFmtId="0" fontId="25" fillId="0" borderId="0"/>
    <xf numFmtId="0" fontId="39" fillId="0" borderId="0"/>
    <xf numFmtId="0" fontId="26" fillId="0" borderId="0"/>
    <xf numFmtId="0" fontId="2" fillId="0" borderId="0"/>
    <xf numFmtId="0" fontId="25" fillId="0" borderId="0"/>
    <xf numFmtId="0" fontId="39" fillId="0" borderId="0"/>
    <xf numFmtId="0" fontId="25" fillId="0" borderId="0"/>
    <xf numFmtId="0" fontId="2" fillId="0" borderId="0"/>
    <xf numFmtId="0" fontId="25" fillId="0" borderId="0"/>
    <xf numFmtId="0" fontId="22" fillId="0" borderId="0"/>
    <xf numFmtId="0" fontId="22" fillId="0" borderId="0"/>
    <xf numFmtId="0" fontId="22" fillId="0" borderId="0"/>
    <xf numFmtId="0" fontId="39" fillId="0" borderId="0"/>
    <xf numFmtId="0" fontId="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5" fillId="0" borderId="0"/>
    <xf numFmtId="0" fontId="25" fillId="0" borderId="0"/>
    <xf numFmtId="0" fontId="25" fillId="0" borderId="0"/>
    <xf numFmtId="0" fontId="22" fillId="0" borderId="0"/>
    <xf numFmtId="0" fontId="25"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40" borderId="29" applyNumberFormat="0" applyFont="0" applyAlignment="0" applyProtection="0"/>
    <xf numFmtId="0" fontId="22" fillId="40" borderId="29" applyNumberFormat="0" applyFont="0" applyAlignment="0" applyProtection="0"/>
    <xf numFmtId="0" fontId="22" fillId="40" borderId="13" applyNumberFormat="0" applyFont="0" applyAlignment="0" applyProtection="0"/>
    <xf numFmtId="0" fontId="22" fillId="40" borderId="13" applyNumberFormat="0" applyFont="0" applyAlignment="0" applyProtection="0"/>
    <xf numFmtId="0" fontId="22" fillId="40" borderId="13" applyNumberFormat="0" applyFont="0" applyAlignment="0" applyProtection="0"/>
    <xf numFmtId="0" fontId="22" fillId="40" borderId="29" applyNumberFormat="0" applyFont="0" applyAlignment="0" applyProtection="0"/>
    <xf numFmtId="0" fontId="26" fillId="40" borderId="29" applyNumberFormat="0" applyFont="0" applyAlignment="0" applyProtection="0"/>
    <xf numFmtId="0" fontId="35" fillId="35" borderId="30" applyNumberFormat="0" applyAlignment="0" applyProtection="0"/>
    <xf numFmtId="0" fontId="35" fillId="35" borderId="30" applyNumberFormat="0" applyAlignment="0" applyProtection="0"/>
    <xf numFmtId="0" fontId="35" fillId="48" borderId="30" applyNumberFormat="0" applyAlignment="0" applyProtection="0"/>
    <xf numFmtId="0" fontId="35" fillId="35" borderId="30" applyNumberFormat="0" applyAlignment="0" applyProtection="0"/>
    <xf numFmtId="0" fontId="91" fillId="45" borderId="30" applyNumberFormat="0" applyAlignment="0" applyProtection="0"/>
    <xf numFmtId="0" fontId="35" fillId="48" borderId="30" applyNumberFormat="0" applyAlignment="0" applyProtection="0"/>
    <xf numFmtId="0" fontId="35" fillId="48" borderId="30" applyNumberFormat="0" applyAlignment="0" applyProtection="0"/>
    <xf numFmtId="0" fontId="91" fillId="45" borderId="30" applyNumberFormat="0" applyAlignment="0" applyProtection="0"/>
    <xf numFmtId="0" fontId="35" fillId="48" borderId="30" applyNumberFormat="0" applyAlignment="0" applyProtection="0"/>
    <xf numFmtId="0" fontId="91" fillId="45" borderId="30" applyNumberFormat="0" applyAlignment="0" applyProtection="0"/>
    <xf numFmtId="1" fontId="92" fillId="0" borderId="0" applyProtection="0">
      <alignment horizontal="right" vertical="center"/>
    </xf>
    <xf numFmtId="0" fontId="40" fillId="0" borderId="0"/>
    <xf numFmtId="9" fontId="19" fillId="0" borderId="0" applyFont="0" applyFill="0" applyBorder="0" applyAlignment="0" applyProtection="0"/>
    <xf numFmtId="10"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0" fontId="21" fillId="0" borderId="31">
      <alignment horizontal="center"/>
    </xf>
    <xf numFmtId="0" fontId="21" fillId="0" borderId="31">
      <alignment horizontal="center"/>
    </xf>
    <xf numFmtId="0" fontId="21" fillId="0" borderId="31">
      <alignment horizontal="center"/>
    </xf>
    <xf numFmtId="0" fontId="21" fillId="0" borderId="31">
      <alignment horizontal="center"/>
    </xf>
    <xf numFmtId="0" fontId="21" fillId="0" borderId="31">
      <alignment horizontal="center"/>
    </xf>
    <xf numFmtId="0" fontId="21" fillId="0" borderId="31">
      <alignment horizontal="center"/>
    </xf>
    <xf numFmtId="0" fontId="21" fillId="0" borderId="31">
      <alignment horizontal="center"/>
    </xf>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0" fontId="50" fillId="63" borderId="0" applyNumberFormat="0" applyFont="0" applyBorder="0" applyAlignment="0" applyProtection="0"/>
    <xf numFmtId="0" fontId="50" fillId="63" borderId="0" applyNumberFormat="0" applyFont="0" applyBorder="0" applyAlignment="0" applyProtection="0"/>
    <xf numFmtId="0" fontId="50" fillId="63" borderId="0" applyNumberFormat="0" applyFont="0" applyBorder="0" applyAlignment="0" applyProtection="0"/>
    <xf numFmtId="178" fontId="76" fillId="0" borderId="32" applyFont="0" applyFill="0" applyBorder="0" applyAlignment="0" applyProtection="0"/>
    <xf numFmtId="0" fontId="93" fillId="0" borderId="0" applyNumberFormat="0" applyFill="0" applyBorder="0" applyAlignment="0" applyProtection="0"/>
    <xf numFmtId="14" fontId="51" fillId="0" borderId="0" applyNumberFormat="0" applyFill="0" applyBorder="0" applyAlignment="0" applyProtection="0">
      <alignment horizontal="left"/>
    </xf>
    <xf numFmtId="165" fontId="22" fillId="0" borderId="0" applyFont="0" applyFill="0" applyAlignment="0">
      <alignment horizontal="right"/>
    </xf>
    <xf numFmtId="0" fontId="94" fillId="60" borderId="0" applyNumberFormat="0" applyFont="0" applyBorder="0" applyAlignment="0" applyProtection="0"/>
    <xf numFmtId="39" fontId="22" fillId="64" borderId="0"/>
    <xf numFmtId="38" fontId="23" fillId="0" borderId="33"/>
    <xf numFmtId="38" fontId="23" fillId="0" borderId="33"/>
    <xf numFmtId="38" fontId="24" fillId="0" borderId="34"/>
    <xf numFmtId="39" fontId="51" fillId="65" borderId="0"/>
    <xf numFmtId="166" fontId="22" fillId="0" borderId="0">
      <alignment horizontal="left" wrapText="1"/>
    </xf>
    <xf numFmtId="40" fontId="52" fillId="0" borderId="0" applyBorder="0">
      <alignment horizontal="right"/>
    </xf>
    <xf numFmtId="0" fontId="95" fillId="0" borderId="0" applyBorder="0" applyProtection="0">
      <alignment vertical="center"/>
    </xf>
    <xf numFmtId="0" fontId="95" fillId="0" borderId="35" applyBorder="0" applyProtection="0">
      <alignment horizontal="right" vertical="center"/>
    </xf>
    <xf numFmtId="0" fontId="96" fillId="66" borderId="0" applyBorder="0" applyProtection="0">
      <alignment horizontal="centerContinuous" vertical="center"/>
    </xf>
    <xf numFmtId="0" fontId="96" fillId="67" borderId="35" applyBorder="0" applyProtection="0">
      <alignment horizontal="centerContinuous" vertical="center"/>
    </xf>
    <xf numFmtId="0" fontId="24" fillId="0" borderId="0" applyBorder="0" applyProtection="0">
      <alignment horizontal="left"/>
    </xf>
    <xf numFmtId="0" fontId="97" fillId="0" borderId="0" applyFill="0" applyBorder="0" applyProtection="0">
      <alignment horizontal="left"/>
    </xf>
    <xf numFmtId="0" fontId="23" fillId="0" borderId="32" applyFill="0" applyBorder="0" applyProtection="0">
      <alignment horizontal="left" vertical="top"/>
    </xf>
    <xf numFmtId="0" fontId="53" fillId="0" borderId="0" applyNumberFormat="0" applyFill="0" applyBorder="0" applyAlignment="0" applyProtection="0"/>
    <xf numFmtId="0" fontId="53" fillId="0" borderId="0" applyNumberFormat="0" applyFill="0" applyBorder="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0" fillId="61" borderId="0">
      <alignment horizontal="left" wrapText="1"/>
    </xf>
    <xf numFmtId="0" fontId="54" fillId="0" borderId="0">
      <alignment horizontal="left" vertical="center"/>
    </xf>
    <xf numFmtId="0" fontId="36" fillId="0" borderId="37" applyNumberFormat="0" applyFill="0" applyAlignment="0" applyProtection="0"/>
    <xf numFmtId="0" fontId="36" fillId="0" borderId="37" applyNumberFormat="0" applyFill="0" applyAlignment="0" applyProtection="0"/>
    <xf numFmtId="0" fontId="29" fillId="0" borderId="37" applyNumberFormat="0" applyFill="0" applyAlignment="0" applyProtection="0"/>
    <xf numFmtId="0" fontId="36" fillId="0" borderId="37" applyNumberFormat="0" applyFill="0" applyAlignment="0" applyProtection="0"/>
    <xf numFmtId="0" fontId="60" fillId="0" borderId="36" applyNumberFormat="0" applyFill="0" applyAlignment="0" applyProtection="0"/>
    <xf numFmtId="0" fontId="36"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60" fillId="0" borderId="36" applyNumberFormat="0" applyFill="0" applyAlignment="0" applyProtection="0"/>
    <xf numFmtId="0" fontId="29" fillId="0" borderId="37" applyNumberFormat="0" applyFill="0" applyAlignment="0" applyProtection="0"/>
    <xf numFmtId="0" fontId="60" fillId="0" borderId="36" applyNumberFormat="0" applyFill="0" applyAlignment="0" applyProtection="0"/>
    <xf numFmtId="37" fontId="22" fillId="0" borderId="0"/>
    <xf numFmtId="0" fontId="3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9" fillId="0" borderId="0"/>
    <xf numFmtId="0" fontId="2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8" fillId="3" borderId="0" applyNumberFormat="0" applyBorder="0" applyAlignment="0" applyProtection="0"/>
    <xf numFmtId="0" fontId="12" fillId="6" borderId="4" applyNumberFormat="0" applyAlignment="0" applyProtection="0"/>
    <xf numFmtId="0" fontId="14" fillId="7" borderId="7" applyNumberFormat="0" applyAlignment="0" applyProtection="0"/>
    <xf numFmtId="43" fontId="101"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9" fontId="19" fillId="0" borderId="0" applyFont="0" applyFill="0" applyBorder="0" applyAlignment="0" applyProtection="0"/>
    <xf numFmtId="43" fontId="22" fillId="0" borderId="0" applyFont="0" applyFill="0" applyBorder="0" applyAlignment="0" applyProtection="0"/>
    <xf numFmtId="43" fontId="10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9" fontId="22"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0" fontId="6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6" fillId="0" borderId="0" applyNumberFormat="0" applyFill="0" applyBorder="0" applyAlignment="0" applyProtection="0"/>
    <xf numFmtId="0" fontId="7" fillId="2" borderId="0" applyNumberFormat="0" applyBorder="0" applyAlignment="0" applyProtection="0"/>
    <xf numFmtId="0" fontId="4" fillId="0" borderId="1" applyNumberFormat="0" applyFill="0" applyAlignment="0" applyProtection="0"/>
    <xf numFmtId="0" fontId="62" fillId="0" borderId="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86" fillId="0" borderId="0" applyNumberFormat="0" applyFill="0" applyBorder="0" applyAlignment="0" applyProtection="0"/>
    <xf numFmtId="0" fontId="102" fillId="0" borderId="0" applyNumberFormat="0" applyFill="0" applyBorder="0" applyAlignment="0" applyProtection="0"/>
    <xf numFmtId="0" fontId="55"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2" fillId="0" borderId="0" applyNumberFormat="0" applyFill="0" applyBorder="0" applyAlignment="0" applyProtection="0"/>
    <xf numFmtId="0" fontId="10" fillId="5" borderId="4" applyNumberFormat="0" applyAlignment="0" applyProtection="0"/>
    <xf numFmtId="0" fontId="62" fillId="0" borderId="0"/>
    <xf numFmtId="0" fontId="13" fillId="0" borderId="6" applyNumberFormat="0" applyFill="0" applyAlignment="0" applyProtection="0"/>
    <xf numFmtId="0" fontId="9" fillId="4" borderId="0" applyNumberFormat="0" applyBorder="0" applyAlignment="0" applyProtection="0"/>
    <xf numFmtId="0" fontId="25" fillId="0" borderId="0"/>
    <xf numFmtId="0" fontId="2" fillId="0" borderId="0"/>
    <xf numFmtId="0" fontId="62" fillId="0" borderId="0"/>
    <xf numFmtId="0" fontId="62" fillId="0" borderId="0"/>
    <xf numFmtId="0" fontId="25" fillId="0" borderId="0"/>
    <xf numFmtId="0" fontId="2" fillId="0" borderId="0"/>
    <xf numFmtId="0" fontId="25" fillId="0" borderId="0"/>
    <xf numFmtId="0" fontId="2" fillId="0" borderId="0"/>
    <xf numFmtId="0" fontId="25" fillId="0" borderId="0"/>
    <xf numFmtId="0" fontId="2" fillId="0" borderId="0"/>
    <xf numFmtId="0" fontId="25" fillId="0" borderId="0"/>
    <xf numFmtId="0" fontId="2" fillId="0" borderId="0"/>
    <xf numFmtId="0" fontId="25" fillId="0" borderId="0"/>
    <xf numFmtId="0" fontId="2" fillId="0" borderId="0"/>
    <xf numFmtId="0" fontId="62" fillId="0" borderId="0"/>
    <xf numFmtId="0" fontId="62" fillId="0" borderId="0"/>
    <xf numFmtId="0" fontId="22" fillId="0" borderId="0"/>
    <xf numFmtId="0" fontId="25" fillId="0" borderId="0"/>
    <xf numFmtId="0" fontId="2" fillId="0" borderId="0"/>
    <xf numFmtId="0" fontId="25"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2" fillId="0" borderId="0"/>
    <xf numFmtId="0" fontId="22" fillId="0" borderId="0"/>
    <xf numFmtId="0" fontId="22" fillId="0" borderId="0"/>
    <xf numFmtId="0" fontId="25" fillId="0" borderId="0"/>
    <xf numFmtId="0" fontId="2" fillId="0" borderId="0"/>
    <xf numFmtId="9" fontId="19" fillId="0" borderId="0" applyFont="0" applyFill="0" applyBorder="0" applyAlignment="0" applyProtection="0"/>
    <xf numFmtId="0" fontId="2" fillId="0" borderId="0"/>
    <xf numFmtId="0" fontId="25" fillId="0" borderId="0"/>
    <xf numFmtId="0" fontId="2" fillId="0" borderId="0"/>
    <xf numFmtId="0" fontId="2" fillId="0" borderId="0"/>
    <xf numFmtId="0" fontId="25" fillId="0" borderId="0"/>
    <xf numFmtId="0" fontId="2" fillId="0" borderId="0"/>
    <xf numFmtId="0" fontId="2" fillId="0" borderId="0"/>
    <xf numFmtId="0" fontId="2" fillId="0" borderId="0"/>
    <xf numFmtId="0" fontId="25" fillId="0" borderId="0"/>
    <xf numFmtId="0" fontId="2" fillId="0" borderId="0"/>
    <xf numFmtId="0" fontId="2" fillId="0" borderId="0"/>
    <xf numFmtId="0" fontId="22" fillId="0" borderId="0"/>
    <xf numFmtId="0" fontId="22" fillId="0" borderId="0"/>
    <xf numFmtId="0" fontId="62" fillId="0" borderId="0"/>
    <xf numFmtId="0" fontId="62" fillId="0" borderId="0"/>
    <xf numFmtId="0" fontId="25" fillId="0" borderId="0"/>
    <xf numFmtId="0" fontId="2" fillId="0" borderId="0"/>
    <xf numFmtId="0" fontId="25" fillId="0" borderId="0"/>
    <xf numFmtId="0" fontId="2" fillId="0" borderId="0"/>
    <xf numFmtId="0" fontId="25" fillId="0" borderId="0"/>
    <xf numFmtId="0" fontId="2" fillId="0" borderId="0"/>
    <xf numFmtId="0" fontId="25" fillId="0" borderId="0"/>
    <xf numFmtId="0" fontId="2" fillId="0" borderId="0"/>
    <xf numFmtId="0" fontId="25" fillId="0" borderId="0"/>
    <xf numFmtId="0" fontId="2" fillId="0" borderId="0"/>
    <xf numFmtId="0" fontId="26" fillId="40" borderId="29" applyNumberFormat="0" applyFont="0" applyAlignment="0" applyProtection="0"/>
    <xf numFmtId="0" fontId="26" fillId="8" borderId="8" applyNumberFormat="0" applyFont="0" applyAlignment="0" applyProtection="0"/>
    <xf numFmtId="0" fontId="22" fillId="40" borderId="29" applyNumberFormat="0" applyFont="0" applyAlignment="0" applyProtection="0"/>
    <xf numFmtId="0" fontId="11" fillId="6" borderId="5" applyNumberFormat="0" applyAlignment="0" applyProtection="0"/>
    <xf numFmtId="0" fontId="62" fillId="0" borderId="0"/>
    <xf numFmtId="0" fontId="62"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62" fillId="0" borderId="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9" fillId="0" borderId="0"/>
    <xf numFmtId="0" fontId="62" fillId="0" borderId="0"/>
    <xf numFmtId="0" fontId="62" fillId="0" borderId="0"/>
    <xf numFmtId="0" fontId="62" fillId="0" borderId="0"/>
    <xf numFmtId="0" fontId="62" fillId="0" borderId="0"/>
    <xf numFmtId="0" fontId="62" fillId="0" borderId="0"/>
    <xf numFmtId="0" fontId="3" fillId="0" borderId="0" applyNumberFormat="0" applyFill="0" applyBorder="0" applyAlignment="0" applyProtection="0"/>
    <xf numFmtId="0" fontId="17" fillId="0" borderId="9" applyNumberFormat="0" applyFill="0" applyAlignment="0" applyProtection="0"/>
    <xf numFmtId="0" fontId="15" fillId="0" borderId="0" applyNumberFormat="0" applyFill="0" applyBorder="0" applyAlignment="0" applyProtection="0"/>
    <xf numFmtId="9" fontId="22" fillId="0" borderId="0" applyFont="0" applyFill="0" applyBorder="0" applyAlignment="0" applyProtection="0"/>
    <xf numFmtId="0" fontId="106" fillId="0" borderId="0"/>
    <xf numFmtId="0" fontId="22" fillId="0" borderId="0"/>
    <xf numFmtId="0" fontId="62" fillId="0" borderId="0"/>
    <xf numFmtId="9" fontId="2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2" fillId="0" borderId="0" applyFont="0" applyFill="0" applyBorder="0" applyAlignment="0" applyProtection="0"/>
    <xf numFmtId="0" fontId="102" fillId="0" borderId="0" applyNumberFormat="0" applyFill="0" applyBorder="0" applyAlignment="0" applyProtection="0"/>
    <xf numFmtId="0" fontId="19"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 fillId="0" borderId="0" applyFont="0" applyFill="0" applyBorder="0" applyAlignment="0" applyProtection="0"/>
    <xf numFmtId="0" fontId="19" fillId="0" borderId="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0" fontId="22"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lignment horizontal="left" wrapText="1"/>
    </xf>
    <xf numFmtId="164" fontId="19" fillId="0" borderId="0">
      <alignment horizontal="left" wrapText="1"/>
    </xf>
    <xf numFmtId="166" fontId="19" fillId="0" borderId="0">
      <alignment horizontal="left" wrapText="1"/>
    </xf>
    <xf numFmtId="166" fontId="19" fillId="0" borderId="0">
      <alignment horizontal="left" wrapText="1"/>
    </xf>
    <xf numFmtId="164" fontId="19" fillId="0" borderId="0">
      <alignment horizontal="left" wrapText="1"/>
    </xf>
    <xf numFmtId="166" fontId="19" fillId="0" borderId="0">
      <alignment horizontal="left" wrapText="1"/>
    </xf>
    <xf numFmtId="164" fontId="19" fillId="0" borderId="0">
      <alignment horizontal="left" wrapText="1"/>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5" fontId="19" fillId="0" borderId="0" applyFont="0" applyFill="0" applyBorder="0" applyAlignment="0" applyProtection="0"/>
    <xf numFmtId="166"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40" borderId="29" applyNumberFormat="0" applyFont="0" applyAlignment="0" applyProtection="0"/>
    <xf numFmtId="0" fontId="19" fillId="40" borderId="29" applyNumberFormat="0" applyFont="0" applyAlignment="0" applyProtection="0"/>
    <xf numFmtId="0" fontId="19" fillId="40" borderId="13" applyNumberFormat="0" applyFont="0" applyAlignment="0" applyProtection="0"/>
    <xf numFmtId="0" fontId="19" fillId="40" borderId="13" applyNumberFormat="0" applyFont="0" applyAlignment="0" applyProtection="0"/>
    <xf numFmtId="0" fontId="19" fillId="40" borderId="29" applyNumberFormat="0" applyFont="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65" fontId="19" fillId="0" borderId="0" applyFont="0" applyFill="0" applyAlignment="0">
      <alignment horizontal="right"/>
    </xf>
    <xf numFmtId="39" fontId="19" fillId="64" borderId="0"/>
    <xf numFmtId="166" fontId="19" fillId="0" borderId="0">
      <alignment horizontal="left" wrapText="1"/>
    </xf>
    <xf numFmtId="37"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40" borderId="29"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62"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18" fillId="0" borderId="0"/>
    <xf numFmtId="9" fontId="118" fillId="0" borderId="0" applyFont="0" applyFill="0" applyBorder="0" applyAlignment="0" applyProtection="0"/>
    <xf numFmtId="43" fontId="39" fillId="0" borderId="0" applyFont="0" applyFill="0" applyBorder="0" applyAlignment="0" applyProtection="0"/>
    <xf numFmtId="43" fontId="25" fillId="0" borderId="0" applyFont="0" applyFill="0" applyBorder="0" applyAlignment="0" applyProtection="0"/>
    <xf numFmtId="3" fontId="19" fillId="0" borderId="0" applyFont="0" applyFill="0" applyBorder="0" applyAlignment="0" applyProtection="0"/>
    <xf numFmtId="0" fontId="23" fillId="0" borderId="0"/>
    <xf numFmtId="0" fontId="88" fillId="0" borderId="59" applyNumberFormat="0" applyFill="0" applyAlignment="0" applyProtection="0"/>
    <xf numFmtId="0" fontId="88" fillId="0" borderId="59" applyNumberFormat="0" applyFill="0" applyAlignment="0" applyProtection="0"/>
    <xf numFmtId="0" fontId="88" fillId="0" borderId="59" applyNumberFormat="0" applyFill="0" applyAlignment="0" applyProtection="0"/>
    <xf numFmtId="0" fontId="33" fillId="0" borderId="59" applyNumberFormat="0" applyFill="0" applyAlignment="0" applyProtection="0"/>
    <xf numFmtId="9" fontId="19" fillId="0" borderId="0" applyFont="0" applyFill="0" applyBorder="0" applyAlignment="0" applyProtection="0"/>
    <xf numFmtId="3" fontId="19" fillId="0" borderId="0" applyFont="0" applyFill="0" applyBorder="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19" fillId="0" borderId="0"/>
    <xf numFmtId="0" fontId="120" fillId="81" borderId="62" applyNumberFormat="0" applyAlignment="0" applyProtection="0"/>
    <xf numFmtId="0" fontId="120" fillId="81" borderId="62" applyNumberFormat="0" applyAlignment="0" applyProtection="0"/>
    <xf numFmtId="2" fontId="120" fillId="82" borderId="62" applyProtection="0">
      <alignment horizontal="right"/>
    </xf>
    <xf numFmtId="2" fontId="120" fillId="82" borderId="62" applyProtection="0">
      <alignment horizontal="right"/>
    </xf>
    <xf numFmtId="2" fontId="121" fillId="83" borderId="62" applyProtection="0">
      <alignment horizontal="right"/>
    </xf>
    <xf numFmtId="2" fontId="121" fillId="83" borderId="62" applyProtection="0">
      <alignment horizontal="right"/>
    </xf>
    <xf numFmtId="14" fontId="122" fillId="84" borderId="62" applyProtection="0">
      <alignment horizontal="right"/>
    </xf>
    <xf numFmtId="14" fontId="122" fillId="84" borderId="62" applyProtection="0">
      <alignment horizontal="right"/>
    </xf>
    <xf numFmtId="14" fontId="122" fillId="84" borderId="62" applyProtection="0">
      <alignment horizontal="left"/>
    </xf>
    <xf numFmtId="14" fontId="122" fillId="84" borderId="62" applyProtection="0">
      <alignment horizontal="left"/>
    </xf>
    <xf numFmtId="0" fontId="123" fillId="81" borderId="62" applyNumberFormat="0" applyProtection="0">
      <alignment horizontal="left"/>
    </xf>
    <xf numFmtId="0" fontId="123" fillId="81" borderId="62" applyNumberFormat="0" applyProtection="0">
      <alignment horizontal="left"/>
    </xf>
    <xf numFmtId="2" fontId="122" fillId="81" borderId="62" applyProtection="0"/>
    <xf numFmtId="2" fontId="122" fillId="81" borderId="62" applyProtection="0"/>
    <xf numFmtId="2" fontId="122" fillId="81" borderId="62" applyProtection="0"/>
    <xf numFmtId="2" fontId="122" fillId="81" borderId="62" applyProtection="0"/>
    <xf numFmtId="2" fontId="59" fillId="0" borderId="0" applyFill="0" applyBorder="0" applyProtection="0"/>
    <xf numFmtId="2" fontId="59" fillId="0" borderId="0" applyFill="0" applyBorder="0" applyProtection="0"/>
    <xf numFmtId="2" fontId="121" fillId="0" borderId="0" applyFill="0" applyBorder="0" applyProtection="0"/>
    <xf numFmtId="2" fontId="121" fillId="0" borderId="0" applyFill="0" applyBorder="0" applyProtection="0"/>
    <xf numFmtId="2" fontId="121" fillId="82" borderId="62" applyProtection="0"/>
    <xf numFmtId="2" fontId="121" fillId="82" borderId="62" applyProtection="0"/>
    <xf numFmtId="2" fontId="121" fillId="85" borderId="62" applyProtection="0"/>
    <xf numFmtId="2" fontId="121" fillId="85" borderId="62" applyProtection="0"/>
    <xf numFmtId="2" fontId="121" fillId="83" borderId="62" applyProtection="0"/>
    <xf numFmtId="2" fontId="121" fillId="83" borderId="62" applyProtection="0"/>
    <xf numFmtId="2" fontId="121" fillId="83" borderId="62" applyProtection="0">
      <alignment horizontal="center"/>
    </xf>
    <xf numFmtId="2" fontId="121" fillId="83" borderId="62" applyProtection="0">
      <alignment horizontal="center"/>
    </xf>
    <xf numFmtId="2" fontId="121" fillId="85" borderId="62" applyProtection="0">
      <alignment horizontal="center"/>
    </xf>
    <xf numFmtId="2" fontId="121" fillId="85" borderId="62" applyProtection="0">
      <alignment horizontal="center"/>
    </xf>
    <xf numFmtId="43" fontId="19" fillId="0" borderId="0" applyFont="0" applyFill="0" applyBorder="0" applyAlignment="0" applyProtection="0"/>
    <xf numFmtId="9" fontId="19" fillId="0" borderId="0" applyFont="0" applyFill="0" applyBorder="0" applyAlignment="0" applyProtection="0"/>
    <xf numFmtId="0" fontId="120" fillId="81" borderId="62" applyNumberFormat="0" applyAlignment="0" applyProtection="0"/>
    <xf numFmtId="2" fontId="120" fillId="82" borderId="62" applyProtection="0">
      <alignment horizontal="right"/>
    </xf>
    <xf numFmtId="2" fontId="121" fillId="83" borderId="62" applyProtection="0">
      <alignment horizontal="right"/>
    </xf>
    <xf numFmtId="14" fontId="122" fillId="84" borderId="62" applyProtection="0">
      <alignment horizontal="right"/>
    </xf>
    <xf numFmtId="14" fontId="122" fillId="84" borderId="62" applyProtection="0">
      <alignment horizontal="left"/>
    </xf>
    <xf numFmtId="0" fontId="123" fillId="81" borderId="62" applyNumberFormat="0" applyProtection="0">
      <alignment horizontal="left"/>
    </xf>
    <xf numFmtId="2" fontId="122" fillId="81" borderId="62" applyProtection="0"/>
    <xf numFmtId="2" fontId="122" fillId="81" borderId="62" applyProtection="0"/>
    <xf numFmtId="2" fontId="59" fillId="0" borderId="0" applyFill="0" applyBorder="0" applyProtection="0"/>
    <xf numFmtId="2" fontId="121" fillId="0" borderId="0" applyFill="0" applyBorder="0" applyProtection="0"/>
    <xf numFmtId="2" fontId="121" fillId="82" borderId="62" applyProtection="0"/>
    <xf numFmtId="2" fontId="121" fillId="85" borderId="62" applyProtection="0"/>
    <xf numFmtId="2" fontId="121" fillId="83" borderId="62" applyProtection="0"/>
    <xf numFmtId="2" fontId="121" fillId="83" borderId="62" applyProtection="0">
      <alignment horizontal="center"/>
    </xf>
    <xf numFmtId="2" fontId="121" fillId="85" borderId="62" applyProtection="0">
      <alignment horizontal="center"/>
    </xf>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0" borderId="0"/>
    <xf numFmtId="3" fontId="19" fillId="0" borderId="0" applyFont="0" applyFill="0" applyBorder="0" applyAlignment="0" applyProtection="0"/>
    <xf numFmtId="0" fontId="124" fillId="0" borderId="0"/>
    <xf numFmtId="0" fontId="50" fillId="0" borderId="0"/>
    <xf numFmtId="0" fontId="150" fillId="0" borderId="0"/>
    <xf numFmtId="0" fontId="19" fillId="0" borderId="0"/>
    <xf numFmtId="0" fontId="145" fillId="0" borderId="0" applyNumberFormat="0">
      <alignment horizontal="left" wrapText="1"/>
    </xf>
    <xf numFmtId="0" fontId="145" fillId="0" borderId="64">
      <alignment horizontal="left" wrapText="1"/>
    </xf>
    <xf numFmtId="0" fontId="147" fillId="87" borderId="0" applyNumberFormat="0">
      <alignment horizontal="left" vertical="center"/>
    </xf>
    <xf numFmtId="0" fontId="148" fillId="86" borderId="0" applyNumberFormat="0">
      <alignment horizontal="left" vertical="center"/>
    </xf>
    <xf numFmtId="0" fontId="145" fillId="0" borderId="65" applyNumberFormat="0">
      <alignment horizontal="left" vertical="center"/>
    </xf>
    <xf numFmtId="0" fontId="146" fillId="0" borderId="0" applyNumberFormat="0">
      <alignment horizontal="left" vertical="center" wrapText="1" indent="1"/>
    </xf>
    <xf numFmtId="0" fontId="146" fillId="0" borderId="0" applyNumberFormat="0">
      <alignment horizontal="left" vertical="center" wrapText="1" indent="2"/>
    </xf>
    <xf numFmtId="0" fontId="146" fillId="0" borderId="0" applyNumberFormat="0">
      <alignment horizontal="left" vertical="center" wrapText="1" indent="3"/>
    </xf>
    <xf numFmtId="0" fontId="146" fillId="0" borderId="0" applyNumberFormat="0">
      <alignment horizontal="left" vertical="center" wrapText="1" indent="4"/>
    </xf>
    <xf numFmtId="0" fontId="149" fillId="0" borderId="0" applyNumberFormat="0">
      <alignment horizontal="left"/>
    </xf>
    <xf numFmtId="0" fontId="149" fillId="0" borderId="0">
      <alignment horizontal="left"/>
    </xf>
    <xf numFmtId="0" fontId="148" fillId="87" borderId="0">
      <alignment vertical="center"/>
    </xf>
    <xf numFmtId="3" fontId="145" fillId="0" borderId="66">
      <alignment vertical="center"/>
    </xf>
    <xf numFmtId="43" fontId="19" fillId="0" borderId="0" applyFont="0" applyFill="0" applyBorder="0" applyAlignment="0" applyProtection="0"/>
    <xf numFmtId="38" fontId="164" fillId="0" borderId="0" applyFont="0" applyFill="0" applyBorder="0" applyAlignment="0" applyProtection="0"/>
    <xf numFmtId="38" fontId="164" fillId="0" borderId="0" applyFont="0" applyFill="0" applyBorder="0" applyAlignment="0" applyProtection="0"/>
    <xf numFmtId="44" fontId="19" fillId="0" borderId="0" applyFont="0" applyFill="0" applyBorder="0" applyAlignment="0" applyProtection="0"/>
    <xf numFmtId="44" fontId="164" fillId="0" borderId="0" applyFont="0" applyFill="0" applyBorder="0" applyAlignment="0" applyProtection="0"/>
    <xf numFmtId="44" fontId="164" fillId="0" borderId="0" applyFont="0" applyFill="0" applyBorder="0" applyAlignment="0" applyProtection="0"/>
    <xf numFmtId="0" fontId="19" fillId="0" borderId="0"/>
    <xf numFmtId="0" fontId="90" fillId="0" borderId="0"/>
    <xf numFmtId="0" fontId="90" fillId="0" borderId="0"/>
    <xf numFmtId="38" fontId="164" fillId="0" borderId="0"/>
    <xf numFmtId="0" fontId="90" fillId="0" borderId="0"/>
    <xf numFmtId="0" fontId="19" fillId="88" borderId="0"/>
    <xf numFmtId="9" fontId="19" fillId="0" borderId="0" applyFont="0" applyFill="0" applyBorder="0" applyAlignment="0" applyProtection="0"/>
    <xf numFmtId="9" fontId="164" fillId="0" borderId="0" applyFont="0" applyFill="0" applyBorder="0" applyAlignment="0" applyProtection="0"/>
    <xf numFmtId="9" fontId="164" fillId="0" borderId="0" applyFont="0" applyFill="0" applyBorder="0" applyAlignment="0" applyProtection="0"/>
    <xf numFmtId="44" fontId="2" fillId="0" borderId="0" applyFont="0" applyFill="0" applyBorder="0" applyAlignment="0" applyProtection="0"/>
  </cellStyleXfs>
  <cellXfs count="687">
    <xf numFmtId="0" fontId="0" fillId="0" borderId="0" xfId="0"/>
    <xf numFmtId="0" fontId="17" fillId="71" borderId="0" xfId="0" applyFont="1" applyFill="1" applyBorder="1"/>
    <xf numFmtId="0" fontId="107" fillId="70" borderId="0" xfId="0" applyFont="1" applyFill="1" applyBorder="1" applyAlignment="1">
      <alignment horizontal="left" wrapText="1"/>
    </xf>
    <xf numFmtId="0" fontId="103" fillId="71" borderId="0" xfId="1279" applyFont="1" applyFill="1" applyBorder="1" applyAlignment="1">
      <alignment horizontal="center"/>
    </xf>
    <xf numFmtId="0" fontId="17" fillId="75" borderId="0" xfId="0" applyFont="1" applyFill="1" applyBorder="1"/>
    <xf numFmtId="0" fontId="105" fillId="75" borderId="0" xfId="0" applyFont="1" applyFill="1" applyBorder="1"/>
    <xf numFmtId="0" fontId="17" fillId="75" borderId="32" xfId="0" applyFont="1" applyFill="1" applyBorder="1" applyAlignment="1">
      <alignment horizontal="right"/>
    </xf>
    <xf numFmtId="0" fontId="17" fillId="75" borderId="0" xfId="0" applyFont="1" applyFill="1" applyBorder="1" applyAlignment="1">
      <alignment horizontal="right"/>
    </xf>
    <xf numFmtId="0" fontId="17" fillId="75" borderId="0" xfId="0" applyFont="1" applyFill="1" applyBorder="1" applyAlignment="1">
      <alignment horizontal="center"/>
    </xf>
    <xf numFmtId="0" fontId="17" fillId="75" borderId="40" xfId="0" applyFont="1" applyFill="1" applyBorder="1" applyAlignment="1">
      <alignment horizontal="center"/>
    </xf>
    <xf numFmtId="0" fontId="17" fillId="75" borderId="38" xfId="0" applyFont="1" applyFill="1" applyBorder="1" applyAlignment="1"/>
    <xf numFmtId="0" fontId="17" fillId="75" borderId="34" xfId="0" applyFont="1" applyFill="1" applyBorder="1" applyAlignment="1"/>
    <xf numFmtId="0" fontId="17" fillId="75" borderId="32" xfId="0" applyFont="1" applyFill="1" applyBorder="1"/>
    <xf numFmtId="0" fontId="2" fillId="0" borderId="0" xfId="0" applyFont="1"/>
    <xf numFmtId="0" fontId="111" fillId="75" borderId="32" xfId="0" applyFont="1" applyFill="1" applyBorder="1" applyAlignment="1">
      <alignment horizontal="right"/>
    </xf>
    <xf numFmtId="0" fontId="111" fillId="75" borderId="0" xfId="0" applyFont="1" applyFill="1" applyBorder="1" applyAlignment="1">
      <alignment horizontal="right"/>
    </xf>
    <xf numFmtId="0" fontId="2" fillId="70" borderId="0" xfId="0" applyFont="1" applyFill="1" applyBorder="1"/>
    <xf numFmtId="0" fontId="113" fillId="71" borderId="0" xfId="1279" applyFont="1" applyFill="1" applyBorder="1" applyAlignment="1">
      <alignment horizontal="center"/>
    </xf>
    <xf numFmtId="0" fontId="113" fillId="71" borderId="40" xfId="1279" applyFont="1" applyFill="1" applyBorder="1" applyAlignment="1">
      <alignment horizontal="center"/>
    </xf>
    <xf numFmtId="0" fontId="2" fillId="71" borderId="0" xfId="0" applyFont="1" applyFill="1" applyBorder="1"/>
    <xf numFmtId="0" fontId="2" fillId="71" borderId="40" xfId="0" applyFont="1" applyFill="1" applyBorder="1"/>
    <xf numFmtId="0" fontId="2" fillId="70" borderId="0" xfId="0" applyFont="1" applyFill="1" applyBorder="1" applyAlignment="1">
      <alignment horizontal="center"/>
    </xf>
    <xf numFmtId="0" fontId="2" fillId="71" borderId="0" xfId="0" applyFont="1" applyFill="1"/>
    <xf numFmtId="0" fontId="2" fillId="69" borderId="0" xfId="0" applyFont="1" applyFill="1" applyBorder="1" applyAlignment="1">
      <alignment horizontal="center"/>
    </xf>
    <xf numFmtId="0" fontId="2" fillId="73" borderId="0" xfId="0" applyFont="1" applyFill="1" applyBorder="1" applyAlignment="1">
      <alignment horizontal="center"/>
    </xf>
    <xf numFmtId="6" fontId="2" fillId="70" borderId="0" xfId="0" applyNumberFormat="1" applyFont="1" applyFill="1" applyBorder="1" applyAlignment="1">
      <alignment horizontal="center"/>
    </xf>
    <xf numFmtId="1" fontId="2" fillId="70" borderId="0" xfId="0" applyNumberFormat="1" applyFont="1" applyFill="1" applyBorder="1" applyAlignment="1">
      <alignment horizontal="center"/>
    </xf>
    <xf numFmtId="0" fontId="2" fillId="75" borderId="0" xfId="0" applyFont="1" applyFill="1" applyBorder="1" applyAlignment="1">
      <alignment horizontal="center"/>
    </xf>
    <xf numFmtId="0" fontId="2" fillId="75" borderId="35" xfId="0" applyFont="1" applyFill="1" applyBorder="1" applyAlignment="1">
      <alignment horizontal="center"/>
    </xf>
    <xf numFmtId="0" fontId="2" fillId="71" borderId="35" xfId="0" applyFont="1" applyFill="1" applyBorder="1"/>
    <xf numFmtId="0" fontId="2" fillId="71" borderId="42" xfId="0" applyFont="1" applyFill="1" applyBorder="1"/>
    <xf numFmtId="0" fontId="2" fillId="75" borderId="0" xfId="0" applyFont="1" applyFill="1" applyBorder="1"/>
    <xf numFmtId="0" fontId="2" fillId="75" borderId="40" xfId="0" applyFont="1" applyFill="1" applyBorder="1"/>
    <xf numFmtId="0" fontId="112" fillId="75" borderId="32" xfId="1562" applyFont="1" applyFill="1" applyBorder="1"/>
    <xf numFmtId="0" fontId="109" fillId="75" borderId="0" xfId="0" applyFont="1" applyFill="1" applyBorder="1"/>
    <xf numFmtId="0" fontId="2" fillId="75" borderId="32" xfId="0" applyFont="1" applyFill="1" applyBorder="1"/>
    <xf numFmtId="0" fontId="112" fillId="75" borderId="0" xfId="1574" applyFont="1" applyFill="1" applyBorder="1"/>
    <xf numFmtId="179" fontId="2" fillId="73" borderId="0" xfId="1560" applyNumberFormat="1" applyFont="1" applyFill="1" applyBorder="1"/>
    <xf numFmtId="179" fontId="2" fillId="69" borderId="0" xfId="1560" applyNumberFormat="1" applyFont="1" applyFill="1" applyBorder="1"/>
    <xf numFmtId="179" fontId="2" fillId="69" borderId="40" xfId="1560" applyNumberFormat="1" applyFont="1" applyFill="1" applyBorder="1"/>
    <xf numFmtId="0" fontId="112" fillId="75" borderId="32" xfId="1575" applyFont="1" applyFill="1" applyBorder="1"/>
    <xf numFmtId="179" fontId="2" fillId="75" borderId="0" xfId="1560" applyNumberFormat="1" applyFont="1" applyFill="1" applyBorder="1"/>
    <xf numFmtId="179" fontId="2" fillId="75" borderId="40" xfId="1560" applyNumberFormat="1" applyFont="1" applyFill="1" applyBorder="1"/>
    <xf numFmtId="0" fontId="112" fillId="75" borderId="32" xfId="1576" applyFont="1" applyFill="1" applyBorder="1"/>
    <xf numFmtId="0" fontId="112" fillId="75" borderId="0" xfId="1577" applyFont="1" applyFill="1" applyBorder="1"/>
    <xf numFmtId="0" fontId="115" fillId="75" borderId="0" xfId="1578" applyFont="1" applyFill="1" applyBorder="1" applyAlignment="1">
      <alignment horizontal="left"/>
    </xf>
    <xf numFmtId="0" fontId="112" fillId="75" borderId="0" xfId="1578" applyFont="1" applyFill="1" applyBorder="1" applyAlignment="1">
      <alignment horizontal="left" indent="3"/>
    </xf>
    <xf numFmtId="180" fontId="112" fillId="75" borderId="0" xfId="1560" applyNumberFormat="1" applyFont="1" applyFill="1" applyBorder="1" applyAlignment="1">
      <alignment horizontal="left" indent="2"/>
    </xf>
    <xf numFmtId="180" fontId="115" fillId="75" borderId="0" xfId="1560" applyNumberFormat="1" applyFont="1" applyFill="1" applyBorder="1" applyAlignment="1">
      <alignment horizontal="left"/>
    </xf>
    <xf numFmtId="0" fontId="112" fillId="75" borderId="0" xfId="1563" applyFont="1" applyFill="1" applyBorder="1" applyAlignment="1">
      <alignment horizontal="left" indent="3"/>
    </xf>
    <xf numFmtId="0" fontId="112" fillId="75" borderId="0" xfId="1563" applyFont="1" applyFill="1" applyBorder="1"/>
    <xf numFmtId="0" fontId="112" fillId="75" borderId="32" xfId="1579" applyFont="1" applyFill="1" applyBorder="1"/>
    <xf numFmtId="179" fontId="2" fillId="75" borderId="0" xfId="0" applyNumberFormat="1" applyFont="1" applyFill="1" applyBorder="1"/>
    <xf numFmtId="179" fontId="2" fillId="75" borderId="40" xfId="0" applyNumberFormat="1" applyFont="1" applyFill="1" applyBorder="1"/>
    <xf numFmtId="0" fontId="112" fillId="75" borderId="32" xfId="1580" applyFont="1" applyFill="1" applyBorder="1"/>
    <xf numFmtId="0" fontId="112" fillId="75" borderId="32" xfId="1581" applyFont="1" applyFill="1" applyBorder="1"/>
    <xf numFmtId="0" fontId="115" fillId="75" borderId="32" xfId="1581" applyFont="1" applyFill="1" applyBorder="1"/>
    <xf numFmtId="0" fontId="116" fillId="75" borderId="32" xfId="1583" applyFont="1" applyFill="1" applyBorder="1"/>
    <xf numFmtId="0" fontId="112" fillId="75" borderId="0" xfId="1600" applyFont="1" applyFill="1" applyBorder="1"/>
    <xf numFmtId="0" fontId="112" fillId="75" borderId="0" xfId="1603" applyFont="1" applyFill="1" applyBorder="1" applyAlignment="1">
      <alignment horizontal="left" indent="2"/>
    </xf>
    <xf numFmtId="0" fontId="112" fillId="75" borderId="0" xfId="1599" applyFont="1" applyFill="1" applyBorder="1" applyAlignment="1">
      <alignment horizontal="left" indent="2"/>
    </xf>
    <xf numFmtId="0" fontId="112" fillId="75" borderId="0" xfId="1599" applyFont="1" applyFill="1" applyBorder="1"/>
    <xf numFmtId="0" fontId="112" fillId="75" borderId="0" xfId="1599" applyFont="1" applyFill="1" applyBorder="1" applyAlignment="1">
      <alignment horizontal="left" indent="4"/>
    </xf>
    <xf numFmtId="0" fontId="112" fillId="75" borderId="0" xfId="611" applyFont="1" applyFill="1" applyBorder="1" applyAlignment="1">
      <alignment horizontal="left" indent="4"/>
    </xf>
    <xf numFmtId="6" fontId="2" fillId="0" borderId="0" xfId="0" applyNumberFormat="1" applyFont="1"/>
    <xf numFmtId="0" fontId="115" fillId="75" borderId="0" xfId="1604" applyFont="1" applyFill="1" applyBorder="1"/>
    <xf numFmtId="0" fontId="116" fillId="75" borderId="32" xfId="1601" applyFont="1" applyFill="1" applyBorder="1"/>
    <xf numFmtId="0" fontId="112" fillId="75" borderId="0" xfId="1605" applyFont="1" applyFill="1" applyBorder="1"/>
    <xf numFmtId="0" fontId="112" fillId="75" borderId="0" xfId="1605" applyFont="1" applyFill="1" applyBorder="1" applyAlignment="1">
      <alignment horizontal="left"/>
    </xf>
    <xf numFmtId="0" fontId="115" fillId="75" borderId="0" xfId="1606" applyFont="1" applyFill="1" applyBorder="1" applyAlignment="1">
      <alignment horizontal="left" indent="2"/>
    </xf>
    <xf numFmtId="0" fontId="116" fillId="75" borderId="32" xfId="1607" applyFont="1" applyFill="1" applyBorder="1"/>
    <xf numFmtId="0" fontId="112" fillId="75" borderId="0" xfId="1608" applyFont="1" applyFill="1" applyBorder="1"/>
    <xf numFmtId="181" fontId="2" fillId="73" borderId="0" xfId="1560" applyNumberFormat="1" applyFont="1" applyFill="1" applyBorder="1"/>
    <xf numFmtId="0" fontId="115" fillId="75" borderId="0" xfId="1609" applyFont="1" applyFill="1" applyBorder="1" applyAlignment="1">
      <alignment horizontal="left" indent="2"/>
    </xf>
    <xf numFmtId="0" fontId="112" fillId="75" borderId="32" xfId="1610" applyFont="1" applyFill="1" applyBorder="1"/>
    <xf numFmtId="0" fontId="112" fillId="75" borderId="32" xfId="1611" applyFont="1" applyFill="1" applyBorder="1"/>
    <xf numFmtId="0" fontId="112" fillId="75" borderId="32" xfId="1612" applyFont="1" applyFill="1" applyBorder="1"/>
    <xf numFmtId="0" fontId="2" fillId="75" borderId="41" xfId="0" applyFont="1" applyFill="1" applyBorder="1"/>
    <xf numFmtId="0" fontId="2" fillId="75" borderId="35" xfId="0" applyFont="1" applyFill="1" applyBorder="1"/>
    <xf numFmtId="0" fontId="2" fillId="75" borderId="42" xfId="0" applyFont="1" applyFill="1" applyBorder="1"/>
    <xf numFmtId="0" fontId="2" fillId="75" borderId="0" xfId="0" applyFont="1" applyFill="1"/>
    <xf numFmtId="1" fontId="2" fillId="75" borderId="0" xfId="0" applyNumberFormat="1" applyFont="1" applyFill="1" applyBorder="1"/>
    <xf numFmtId="1" fontId="2" fillId="75" borderId="40" xfId="0" applyNumberFormat="1" applyFont="1" applyFill="1" applyBorder="1"/>
    <xf numFmtId="179" fontId="110" fillId="75" borderId="0" xfId="1560" applyNumberFormat="1" applyFont="1" applyFill="1" applyBorder="1"/>
    <xf numFmtId="179" fontId="110" fillId="75" borderId="40" xfId="1560" applyNumberFormat="1" applyFont="1" applyFill="1" applyBorder="1"/>
    <xf numFmtId="179" fontId="17" fillId="75" borderId="0" xfId="0" applyNumberFormat="1" applyFont="1" applyFill="1" applyBorder="1"/>
    <xf numFmtId="179" fontId="17" fillId="75" borderId="40" xfId="0" applyNumberFormat="1" applyFont="1" applyFill="1" applyBorder="1"/>
    <xf numFmtId="181" fontId="2" fillId="75" borderId="0" xfId="1560" applyNumberFormat="1" applyFont="1" applyFill="1" applyBorder="1"/>
    <xf numFmtId="181" fontId="2" fillId="75" borderId="40" xfId="1560" applyNumberFormat="1" applyFont="1" applyFill="1" applyBorder="1"/>
    <xf numFmtId="0" fontId="0" fillId="75" borderId="0" xfId="0" applyFont="1" applyFill="1" applyBorder="1"/>
    <xf numFmtId="0" fontId="0" fillId="75" borderId="0" xfId="0" applyFont="1" applyFill="1" applyBorder="1" applyAlignment="1">
      <alignment horizontal="left" indent="2"/>
    </xf>
    <xf numFmtId="0" fontId="115" fillId="75" borderId="32" xfId="1576" applyFont="1" applyFill="1" applyBorder="1"/>
    <xf numFmtId="0" fontId="125" fillId="0" borderId="0" xfId="0" applyFont="1" applyFill="1"/>
    <xf numFmtId="0" fontId="125" fillId="0" borderId="0" xfId="0" applyFont="1"/>
    <xf numFmtId="14" fontId="125" fillId="70" borderId="0" xfId="0" applyNumberFormat="1" applyFont="1" applyFill="1" applyBorder="1" applyAlignment="1">
      <alignment horizontal="center"/>
    </xf>
    <xf numFmtId="0" fontId="125" fillId="70" borderId="0" xfId="0" applyFont="1" applyFill="1" applyBorder="1" applyAlignment="1">
      <alignment horizontal="center"/>
    </xf>
    <xf numFmtId="0" fontId="125" fillId="71" borderId="0" xfId="0" applyFont="1" applyFill="1" applyBorder="1"/>
    <xf numFmtId="0" fontId="135" fillId="71" borderId="32" xfId="1561" applyFont="1" applyFill="1" applyBorder="1" applyAlignment="1"/>
    <xf numFmtId="0" fontId="125" fillId="71" borderId="0" xfId="0" applyFont="1" applyFill="1"/>
    <xf numFmtId="0" fontId="125" fillId="78" borderId="0" xfId="0" applyFont="1" applyFill="1" applyBorder="1"/>
    <xf numFmtId="0" fontId="125" fillId="78" borderId="46" xfId="0" applyFont="1" applyFill="1" applyBorder="1"/>
    <xf numFmtId="179" fontId="125" fillId="78" borderId="46" xfId="1560" applyNumberFormat="1" applyFont="1" applyFill="1" applyBorder="1"/>
    <xf numFmtId="179" fontId="125" fillId="78" borderId="0" xfId="1560" applyNumberFormat="1" applyFont="1" applyFill="1" applyBorder="1"/>
    <xf numFmtId="179" fontId="128" fillId="70" borderId="0" xfId="1560" applyNumberFormat="1" applyFont="1" applyFill="1" applyBorder="1"/>
    <xf numFmtId="179" fontId="137" fillId="70" borderId="0" xfId="1560" applyNumberFormat="1" applyFont="1" applyFill="1" applyBorder="1"/>
    <xf numFmtId="179" fontId="130" fillId="70" borderId="0" xfId="1560" applyNumberFormat="1" applyFont="1" applyFill="1" applyBorder="1"/>
    <xf numFmtId="179" fontId="131" fillId="70" borderId="46" xfId="1560" applyNumberFormat="1" applyFont="1" applyFill="1" applyBorder="1"/>
    <xf numFmtId="179" fontId="131" fillId="70" borderId="0" xfId="1560" applyNumberFormat="1" applyFont="1" applyFill="1" applyBorder="1"/>
    <xf numFmtId="179" fontId="125" fillId="78" borderId="0" xfId="0" applyNumberFormat="1" applyFont="1" applyFill="1" applyBorder="1"/>
    <xf numFmtId="179" fontId="125" fillId="78" borderId="46" xfId="0" applyNumberFormat="1" applyFont="1" applyFill="1" applyBorder="1"/>
    <xf numFmtId="179" fontId="130" fillId="70" borderId="0" xfId="0" applyNumberFormat="1" applyFont="1" applyFill="1" applyBorder="1"/>
    <xf numFmtId="179" fontId="125" fillId="0" borderId="0" xfId="1560" applyNumberFormat="1" applyFont="1"/>
    <xf numFmtId="179" fontId="125" fillId="0" borderId="0" xfId="0" applyNumberFormat="1" applyFont="1"/>
    <xf numFmtId="0" fontId="125" fillId="0" borderId="0" xfId="0" applyFont="1" applyFill="1" applyBorder="1"/>
    <xf numFmtId="0" fontId="125" fillId="71" borderId="40" xfId="0" applyFont="1" applyFill="1" applyBorder="1"/>
    <xf numFmtId="0" fontId="125" fillId="0" borderId="0" xfId="0" applyFont="1" applyBorder="1"/>
    <xf numFmtId="0" fontId="125" fillId="71" borderId="35" xfId="0" applyFont="1" applyFill="1" applyBorder="1"/>
    <xf numFmtId="0" fontId="125" fillId="71" borderId="42" xfId="0" applyFont="1" applyFill="1" applyBorder="1"/>
    <xf numFmtId="179" fontId="125" fillId="0" borderId="0" xfId="1560" applyNumberFormat="1" applyFont="1" applyFill="1" applyBorder="1"/>
    <xf numFmtId="0" fontId="103" fillId="71" borderId="0" xfId="1633" applyFont="1" applyFill="1" applyBorder="1" applyAlignment="1">
      <alignment horizontal="center"/>
    </xf>
    <xf numFmtId="0" fontId="125" fillId="0" borderId="0" xfId="0" applyFont="1" applyFill="1" applyAlignment="1">
      <alignment horizontal="center"/>
    </xf>
    <xf numFmtId="0" fontId="125" fillId="78" borderId="32" xfId="0" applyFont="1" applyFill="1" applyBorder="1"/>
    <xf numFmtId="0" fontId="125" fillId="78" borderId="35" xfId="0" applyFont="1" applyFill="1" applyBorder="1"/>
    <xf numFmtId="179" fontId="125" fillId="78" borderId="35" xfId="1560" applyNumberFormat="1" applyFont="1" applyFill="1" applyBorder="1"/>
    <xf numFmtId="179" fontId="126" fillId="78" borderId="46" xfId="0" applyNumberFormat="1" applyFont="1" applyFill="1" applyBorder="1"/>
    <xf numFmtId="179" fontId="126" fillId="78" borderId="0" xfId="0" applyNumberFormat="1" applyFont="1" applyFill="1" applyBorder="1"/>
    <xf numFmtId="0" fontId="126" fillId="0" borderId="0" xfId="0" applyFont="1"/>
    <xf numFmtId="0" fontId="104" fillId="78" borderId="0" xfId="0" applyFont="1" applyFill="1" applyBorder="1" applyAlignment="1">
      <alignment horizontal="right"/>
    </xf>
    <xf numFmtId="0" fontId="126" fillId="78" borderId="0" xfId="0" applyFont="1" applyFill="1" applyBorder="1" applyAlignment="1">
      <alignment horizontal="right"/>
    </xf>
    <xf numFmtId="0" fontId="126" fillId="78" borderId="0" xfId="0" applyFont="1" applyFill="1" applyBorder="1" applyAlignment="1">
      <alignment horizontal="center" wrapText="1"/>
    </xf>
    <xf numFmtId="0" fontId="126" fillId="72" borderId="0" xfId="0" applyFont="1" applyFill="1" applyBorder="1" applyAlignment="1">
      <alignment horizontal="center" wrapText="1"/>
    </xf>
    <xf numFmtId="0" fontId="125" fillId="78" borderId="0" xfId="0" applyFont="1" applyFill="1" applyBorder="1" applyAlignment="1">
      <alignment horizontal="center"/>
    </xf>
    <xf numFmtId="0" fontId="125" fillId="0" borderId="0" xfId="0" applyFont="1" applyAlignment="1">
      <alignment horizontal="center"/>
    </xf>
    <xf numFmtId="0" fontId="125" fillId="78" borderId="0" xfId="0" applyFont="1" applyFill="1"/>
    <xf numFmtId="0" fontId="125" fillId="79" borderId="0" xfId="0" applyFont="1" applyFill="1" applyBorder="1"/>
    <xf numFmtId="0" fontId="125" fillId="79" borderId="31" xfId="0" applyFont="1" applyFill="1" applyBorder="1"/>
    <xf numFmtId="0" fontId="125" fillId="0" borderId="0" xfId="0" applyFont="1" applyFill="1" applyBorder="1" applyAlignment="1">
      <alignment horizontal="center"/>
    </xf>
    <xf numFmtId="0" fontId="126" fillId="0" borderId="0" xfId="0" applyFont="1" applyFill="1"/>
    <xf numFmtId="0" fontId="126" fillId="0" borderId="0" xfId="0" applyFont="1" applyFill="1" applyAlignment="1">
      <alignment horizontal="center"/>
    </xf>
    <xf numFmtId="0" fontId="127" fillId="71" borderId="0" xfId="1561" applyFont="1" applyFill="1" applyBorder="1" applyAlignment="1"/>
    <xf numFmtId="0" fontId="127" fillId="71" borderId="40" xfId="1561" applyFont="1" applyFill="1" applyBorder="1" applyAlignment="1"/>
    <xf numFmtId="0" fontId="126" fillId="71" borderId="0" xfId="0" applyFont="1" applyFill="1" applyBorder="1" applyAlignment="1">
      <alignment vertical="top" wrapText="1"/>
    </xf>
    <xf numFmtId="0" fontId="130" fillId="71" borderId="0" xfId="1561" applyFont="1" applyFill="1" applyBorder="1" applyAlignment="1">
      <alignment vertical="top"/>
    </xf>
    <xf numFmtId="0" fontId="125" fillId="71" borderId="35" xfId="0" applyFont="1" applyFill="1" applyBorder="1" applyAlignment="1">
      <alignment horizontal="center"/>
    </xf>
    <xf numFmtId="0" fontId="155" fillId="80" borderId="35" xfId="0" applyFont="1" applyFill="1" applyBorder="1" applyAlignment="1">
      <alignment horizontal="center"/>
    </xf>
    <xf numFmtId="14" fontId="19" fillId="71" borderId="0" xfId="1561" applyNumberFormat="1" applyFont="1" applyFill="1" applyBorder="1" applyAlignment="1">
      <alignment horizontal="center" vertical="center" wrapText="1"/>
    </xf>
    <xf numFmtId="14" fontId="19" fillId="0" borderId="0" xfId="1561" applyNumberFormat="1" applyFont="1" applyFill="1" applyBorder="1" applyAlignment="1">
      <alignment horizontal="center" vertical="center" wrapText="1"/>
    </xf>
    <xf numFmtId="0" fontId="126" fillId="0" borderId="0" xfId="0" applyFont="1" applyAlignment="1">
      <alignment horizontal="center" vertical="center"/>
    </xf>
    <xf numFmtId="0" fontId="104" fillId="71" borderId="0" xfId="0" applyFont="1" applyFill="1" applyBorder="1"/>
    <xf numFmtId="0" fontId="99" fillId="71" borderId="0" xfId="1561" applyFont="1" applyFill="1" applyBorder="1" applyAlignment="1"/>
    <xf numFmtId="0" fontId="126" fillId="71" borderId="40" xfId="0" applyFont="1" applyFill="1" applyBorder="1" applyAlignment="1"/>
    <xf numFmtId="0" fontId="20" fillId="71" borderId="42" xfId="0" applyFont="1" applyFill="1" applyBorder="1"/>
    <xf numFmtId="0" fontId="104" fillId="71" borderId="35" xfId="0" applyFont="1" applyFill="1" applyBorder="1"/>
    <xf numFmtId="0" fontId="129" fillId="71" borderId="0" xfId="1561" applyFont="1" applyFill="1" applyBorder="1" applyAlignment="1">
      <alignment horizontal="left" vertical="top"/>
    </xf>
    <xf numFmtId="0" fontId="142" fillId="70" borderId="0" xfId="0" applyFont="1" applyFill="1" applyBorder="1" applyAlignment="1">
      <alignment horizontal="center"/>
    </xf>
    <xf numFmtId="0" fontId="151" fillId="71" borderId="32" xfId="1561" applyFont="1" applyFill="1" applyBorder="1" applyAlignment="1">
      <alignment horizontal="left" vertical="top"/>
    </xf>
    <xf numFmtId="0" fontId="128" fillId="71" borderId="0" xfId="1561" applyFont="1" applyFill="1" applyBorder="1" applyAlignment="1">
      <alignment horizontal="left" vertical="top"/>
    </xf>
    <xf numFmtId="37" fontId="132" fillId="71" borderId="32" xfId="1561" applyNumberFormat="1" applyFont="1" applyFill="1" applyBorder="1" applyAlignment="1">
      <alignment vertical="center"/>
    </xf>
    <xf numFmtId="0" fontId="19" fillId="71" borderId="0" xfId="1561" applyFont="1" applyFill="1" applyBorder="1" applyAlignment="1">
      <alignment horizontal="right" vertical="top" wrapText="1"/>
    </xf>
    <xf numFmtId="0" fontId="133" fillId="71" borderId="32" xfId="1561" applyFont="1" applyFill="1" applyBorder="1" applyAlignment="1"/>
    <xf numFmtId="0" fontId="134" fillId="71" borderId="0" xfId="1561" applyFont="1" applyFill="1" applyBorder="1" applyAlignment="1">
      <alignment vertical="top" wrapText="1"/>
    </xf>
    <xf numFmtId="0" fontId="125" fillId="69" borderId="0" xfId="0" applyFont="1" applyFill="1" applyBorder="1" applyAlignment="1">
      <alignment horizontal="center"/>
    </xf>
    <xf numFmtId="0" fontId="126" fillId="72" borderId="52" xfId="0" applyFont="1" applyFill="1" applyBorder="1" applyAlignment="1">
      <alignment horizontal="center" wrapText="1"/>
    </xf>
    <xf numFmtId="0" fontId="126" fillId="72" borderId="51" xfId="0" applyFont="1" applyFill="1" applyBorder="1" applyAlignment="1">
      <alignment horizontal="center" wrapText="1"/>
    </xf>
    <xf numFmtId="0" fontId="126" fillId="72" borderId="53" xfId="0" applyFont="1" applyFill="1" applyBorder="1" applyAlignment="1">
      <alignment horizontal="center" wrapText="1"/>
    </xf>
    <xf numFmtId="0" fontId="126" fillId="0" borderId="0" xfId="0" applyFont="1" applyFill="1" applyBorder="1" applyAlignment="1">
      <alignment horizontal="center" wrapText="1"/>
    </xf>
    <xf numFmtId="0" fontId="144" fillId="72" borderId="45" xfId="0" applyFont="1" applyFill="1" applyBorder="1"/>
    <xf numFmtId="0" fontId="126" fillId="78" borderId="46" xfId="0" applyFont="1" applyFill="1" applyBorder="1" applyAlignment="1">
      <alignment horizontal="center" wrapText="1"/>
    </xf>
    <xf numFmtId="0" fontId="125" fillId="72" borderId="45" xfId="0" applyFont="1" applyFill="1" applyBorder="1"/>
    <xf numFmtId="0" fontId="126" fillId="72" borderId="0" xfId="0" applyFont="1" applyFill="1" applyBorder="1"/>
    <xf numFmtId="179" fontId="125" fillId="79" borderId="0" xfId="1560" applyNumberFormat="1" applyFont="1" applyFill="1" applyBorder="1"/>
    <xf numFmtId="14" fontId="125" fillId="0" borderId="0" xfId="0" applyNumberFormat="1" applyFont="1" applyFill="1" applyAlignment="1">
      <alignment horizontal="center"/>
    </xf>
    <xf numFmtId="0" fontId="125" fillId="72" borderId="45" xfId="0" applyFont="1" applyFill="1" applyBorder="1" applyAlignment="1">
      <alignment horizontal="left"/>
    </xf>
    <xf numFmtId="0" fontId="125" fillId="72" borderId="0" xfId="0" applyFont="1" applyFill="1" applyBorder="1"/>
    <xf numFmtId="9" fontId="142" fillId="79" borderId="0" xfId="1582" applyFont="1" applyFill="1" applyBorder="1"/>
    <xf numFmtId="10" fontId="142" fillId="79" borderId="0" xfId="1582" applyNumberFormat="1" applyFont="1" applyFill="1" applyBorder="1"/>
    <xf numFmtId="10" fontId="142" fillId="79" borderId="46" xfId="1582" applyNumberFormat="1" applyFont="1" applyFill="1" applyBorder="1"/>
    <xf numFmtId="0" fontId="139" fillId="72" borderId="45" xfId="0" applyFont="1" applyFill="1" applyBorder="1" applyAlignment="1">
      <alignment horizontal="left" indent="1"/>
    </xf>
    <xf numFmtId="0" fontId="125" fillId="72" borderId="45" xfId="0" applyFont="1" applyFill="1" applyBorder="1" applyAlignment="1">
      <alignment horizontal="left" indent="4"/>
    </xf>
    <xf numFmtId="179" fontId="125" fillId="79" borderId="46" xfId="1560" applyNumberFormat="1" applyFont="1" applyFill="1" applyBorder="1"/>
    <xf numFmtId="0" fontId="126" fillId="72" borderId="45" xfId="0" applyFont="1" applyFill="1" applyBorder="1" applyAlignment="1">
      <alignment horizontal="left" indent="5"/>
    </xf>
    <xf numFmtId="179" fontId="126" fillId="79" borderId="0" xfId="0" applyNumberFormat="1" applyFont="1" applyFill="1" applyBorder="1"/>
    <xf numFmtId="179" fontId="126" fillId="79" borderId="46" xfId="0" applyNumberFormat="1" applyFont="1" applyFill="1" applyBorder="1"/>
    <xf numFmtId="179" fontId="125" fillId="79" borderId="0" xfId="0" applyNumberFormat="1" applyFont="1" applyFill="1" applyBorder="1"/>
    <xf numFmtId="37" fontId="131" fillId="70" borderId="0" xfId="0" applyNumberFormat="1" applyFont="1" applyFill="1" applyBorder="1"/>
    <xf numFmtId="37" fontId="140" fillId="69" borderId="0" xfId="0" applyNumberFormat="1" applyFont="1" applyFill="1" applyBorder="1"/>
    <xf numFmtId="0" fontId="125" fillId="72" borderId="45" xfId="0" applyFont="1" applyFill="1" applyBorder="1" applyAlignment="1">
      <alignment horizontal="left" indent="2"/>
    </xf>
    <xf numFmtId="0" fontId="125" fillId="72" borderId="45" xfId="0" applyFont="1" applyFill="1" applyBorder="1" applyAlignment="1">
      <alignment horizontal="left" indent="3"/>
    </xf>
    <xf numFmtId="37" fontId="131" fillId="70" borderId="46" xfId="0" applyNumberFormat="1" applyFont="1" applyFill="1" applyBorder="1"/>
    <xf numFmtId="182" fontId="142" fillId="79" borderId="0" xfId="0" applyNumberFormat="1" applyFont="1" applyFill="1" applyBorder="1"/>
    <xf numFmtId="182" fontId="142" fillId="79" borderId="0" xfId="1582" applyNumberFormat="1" applyFont="1" applyFill="1" applyBorder="1"/>
    <xf numFmtId="182" fontId="142" fillId="79" borderId="46" xfId="1582" applyNumberFormat="1" applyFont="1" applyFill="1" applyBorder="1"/>
    <xf numFmtId="0" fontId="20" fillId="72" borderId="45" xfId="1615" applyFont="1" applyFill="1" applyBorder="1"/>
    <xf numFmtId="0" fontId="19" fillId="72" borderId="45" xfId="1617" applyFont="1" applyFill="1" applyBorder="1" applyAlignment="1">
      <alignment horizontal="left" indent="2"/>
    </xf>
    <xf numFmtId="37" fontId="125" fillId="79" borderId="0" xfId="0" applyNumberFormat="1" applyFont="1" applyFill="1" applyBorder="1"/>
    <xf numFmtId="37" fontId="138" fillId="70" borderId="0" xfId="0" applyNumberFormat="1" applyFont="1" applyFill="1" applyBorder="1"/>
    <xf numFmtId="0" fontId="19" fillId="72" borderId="45" xfId="1617" applyFont="1" applyFill="1" applyBorder="1" applyAlignment="1">
      <alignment horizontal="left" indent="5"/>
    </xf>
    <xf numFmtId="0" fontId="104" fillId="72" borderId="45" xfId="0" applyFont="1" applyFill="1" applyBorder="1"/>
    <xf numFmtId="179" fontId="154" fillId="70" borderId="0" xfId="1560" applyNumberFormat="1" applyFont="1" applyFill="1" applyBorder="1"/>
    <xf numFmtId="179" fontId="154" fillId="70" borderId="46" xfId="1560" applyNumberFormat="1" applyFont="1" applyFill="1" applyBorder="1"/>
    <xf numFmtId="0" fontId="125" fillId="72" borderId="45" xfId="0" applyFont="1" applyFill="1" applyBorder="1" applyAlignment="1">
      <alignment horizontal="left" indent="5"/>
    </xf>
    <xf numFmtId="0" fontId="19" fillId="72" borderId="45" xfId="1621" applyFont="1" applyFill="1" applyBorder="1" applyAlignment="1">
      <alignment horizontal="left" indent="2"/>
    </xf>
    <xf numFmtId="43" fontId="125" fillId="79" borderId="0" xfId="1560" applyNumberFormat="1" applyFont="1" applyFill="1" applyBorder="1"/>
    <xf numFmtId="0" fontId="19" fillId="72" borderId="45" xfId="1621" applyFont="1" applyFill="1" applyBorder="1" applyAlignment="1">
      <alignment horizontal="left" indent="5"/>
    </xf>
    <xf numFmtId="0" fontId="19" fillId="72" borderId="45" xfId="1623" applyFont="1" applyFill="1" applyBorder="1" applyAlignment="1">
      <alignment horizontal="left" indent="2"/>
    </xf>
    <xf numFmtId="179" fontId="125" fillId="79" borderId="35" xfId="0" applyNumberFormat="1" applyFont="1" applyFill="1" applyBorder="1"/>
    <xf numFmtId="179" fontId="154" fillId="70" borderId="49" xfId="1560" applyNumberFormat="1" applyFont="1" applyFill="1" applyBorder="1"/>
    <xf numFmtId="0" fontId="20" fillId="72" borderId="45" xfId="1623" applyFont="1" applyFill="1" applyBorder="1" applyAlignment="1">
      <alignment horizontal="left" indent="5"/>
    </xf>
    <xf numFmtId="0" fontId="19" fillId="72" borderId="45" xfId="1625" applyFont="1" applyFill="1" applyBorder="1" applyAlignment="1">
      <alignment horizontal="left" indent="2"/>
    </xf>
    <xf numFmtId="179" fontId="154" fillId="70" borderId="35" xfId="1560" applyNumberFormat="1" applyFont="1" applyFill="1" applyBorder="1"/>
    <xf numFmtId="179" fontId="125" fillId="79" borderId="35" xfId="1560" applyNumberFormat="1" applyFont="1" applyFill="1" applyBorder="1"/>
    <xf numFmtId="179" fontId="125" fillId="79" borderId="49" xfId="1560" applyNumberFormat="1" applyFont="1" applyFill="1" applyBorder="1"/>
    <xf numFmtId="0" fontId="20" fillId="72" borderId="45" xfId="1628" applyFont="1" applyFill="1" applyBorder="1" applyAlignment="1">
      <alignment horizontal="left" indent="5"/>
    </xf>
    <xf numFmtId="0" fontId="136" fillId="72" borderId="45" xfId="0" applyFont="1" applyFill="1" applyBorder="1"/>
    <xf numFmtId="179" fontId="157" fillId="68" borderId="55" xfId="1560" applyNumberFormat="1" applyFont="1" applyFill="1" applyBorder="1"/>
    <xf numFmtId="180" fontId="125" fillId="78" borderId="0" xfId="1560" applyNumberFormat="1" applyFont="1" applyFill="1" applyBorder="1"/>
    <xf numFmtId="179" fontId="158" fillId="68" borderId="55" xfId="1560" applyNumberFormat="1" applyFont="1" applyFill="1" applyBorder="1"/>
    <xf numFmtId="179" fontId="140" fillId="79" borderId="35" xfId="1560" applyNumberFormat="1" applyFont="1" applyFill="1" applyBorder="1"/>
    <xf numFmtId="179" fontId="126" fillId="79" borderId="0" xfId="1560" applyNumberFormat="1" applyFont="1" applyFill="1" applyBorder="1"/>
    <xf numFmtId="179" fontId="126" fillId="79" borderId="46" xfId="1560" applyNumberFormat="1" applyFont="1" applyFill="1" applyBorder="1"/>
    <xf numFmtId="0" fontId="126" fillId="72" borderId="47" xfId="0" applyFont="1" applyFill="1" applyBorder="1" applyAlignment="1">
      <alignment horizontal="left" indent="1"/>
    </xf>
    <xf numFmtId="179" fontId="126" fillId="79" borderId="31" xfId="0" applyNumberFormat="1" applyFont="1" applyFill="1" applyBorder="1"/>
    <xf numFmtId="179" fontId="126" fillId="79" borderId="48" xfId="0" applyNumberFormat="1" applyFont="1" applyFill="1" applyBorder="1"/>
    <xf numFmtId="0" fontId="125" fillId="0" borderId="45" xfId="0" applyFont="1" applyBorder="1"/>
    <xf numFmtId="0" fontId="125" fillId="0" borderId="45" xfId="0" applyFont="1" applyFill="1" applyBorder="1"/>
    <xf numFmtId="0" fontId="126" fillId="71" borderId="0" xfId="0" applyFont="1" applyFill="1" applyBorder="1" applyAlignment="1"/>
    <xf numFmtId="0" fontId="138" fillId="71" borderId="0" xfId="1561" applyFont="1" applyFill="1" applyBorder="1" applyAlignment="1">
      <alignment vertical="top"/>
    </xf>
    <xf numFmtId="179" fontId="137" fillId="78" borderId="0" xfId="1560" applyNumberFormat="1" applyFont="1" applyFill="1" applyBorder="1"/>
    <xf numFmtId="37" fontId="131" fillId="78" borderId="0" xfId="0" applyNumberFormat="1" applyFont="1" applyFill="1" applyBorder="1"/>
    <xf numFmtId="43" fontId="125" fillId="79" borderId="0" xfId="0" applyNumberFormat="1" applyFont="1" applyFill="1" applyBorder="1"/>
    <xf numFmtId="179" fontId="125" fillId="79" borderId="49" xfId="0" applyNumberFormat="1" applyFont="1" applyFill="1" applyBorder="1"/>
    <xf numFmtId="183" fontId="125" fillId="0" borderId="0" xfId="0" applyNumberFormat="1" applyFont="1"/>
    <xf numFmtId="1" fontId="125" fillId="0" borderId="0" xfId="0" applyNumberFormat="1" applyFont="1"/>
    <xf numFmtId="0" fontId="126" fillId="79" borderId="43" xfId="0" applyFont="1" applyFill="1" applyBorder="1"/>
    <xf numFmtId="0" fontId="125" fillId="79" borderId="54" xfId="0" applyFont="1" applyFill="1" applyBorder="1"/>
    <xf numFmtId="0" fontId="126" fillId="79" borderId="54" xfId="0" applyFont="1" applyFill="1" applyBorder="1"/>
    <xf numFmtId="0" fontId="126" fillId="79" borderId="45" xfId="0" applyFont="1" applyFill="1" applyBorder="1"/>
    <xf numFmtId="0" fontId="126" fillId="79" borderId="45" xfId="0" applyFont="1" applyFill="1" applyBorder="1" applyAlignment="1">
      <alignment vertical="center"/>
    </xf>
    <xf numFmtId="0" fontId="126" fillId="79" borderId="47" xfId="0" applyFont="1" applyFill="1" applyBorder="1"/>
    <xf numFmtId="0" fontId="126" fillId="0" borderId="0" xfId="0" applyFont="1" applyAlignment="1">
      <alignment horizontal="center" vertical="center" wrapText="1"/>
    </xf>
    <xf numFmtId="0" fontId="126" fillId="0" borderId="0" xfId="0" applyFont="1" applyFill="1" applyBorder="1" applyAlignment="1">
      <alignment horizontal="center" vertical="center"/>
    </xf>
    <xf numFmtId="0" fontId="125" fillId="77" borderId="0" xfId="0" applyFont="1" applyFill="1"/>
    <xf numFmtId="179" fontId="125" fillId="77" borderId="0" xfId="1560" applyNumberFormat="1" applyFont="1" applyFill="1"/>
    <xf numFmtId="179" fontId="126" fillId="0" borderId="0" xfId="1560" applyNumberFormat="1" applyFont="1" applyFill="1" applyBorder="1"/>
    <xf numFmtId="0" fontId="125" fillId="77" borderId="63" xfId="0" applyFont="1" applyFill="1" applyBorder="1"/>
    <xf numFmtId="179" fontId="125" fillId="77" borderId="63" xfId="1560" applyNumberFormat="1" applyFont="1" applyFill="1" applyBorder="1"/>
    <xf numFmtId="179" fontId="126" fillId="0" borderId="0" xfId="1560" applyNumberFormat="1" applyFont="1"/>
    <xf numFmtId="0" fontId="126" fillId="0" borderId="0" xfId="0" applyFont="1" applyAlignment="1">
      <alignment horizontal="center" wrapText="1"/>
    </xf>
    <xf numFmtId="0" fontId="125" fillId="0" borderId="63" xfId="0" applyFont="1" applyBorder="1"/>
    <xf numFmtId="179" fontId="125" fillId="0" borderId="63" xfId="1560" applyNumberFormat="1" applyFont="1" applyBorder="1"/>
    <xf numFmtId="0" fontId="126" fillId="77" borderId="0" xfId="0" applyFont="1" applyFill="1"/>
    <xf numFmtId="179" fontId="126" fillId="77" borderId="0" xfId="1560" applyNumberFormat="1" applyFont="1" applyFill="1"/>
    <xf numFmtId="0" fontId="160" fillId="0" borderId="0" xfId="0" applyFont="1" applyAlignment="1">
      <alignment horizontal="center" wrapText="1"/>
    </xf>
    <xf numFmtId="0" fontId="160" fillId="0" borderId="0" xfId="0" applyFont="1" applyAlignment="1">
      <alignment horizontal="center" vertical="center"/>
    </xf>
    <xf numFmtId="0" fontId="160" fillId="0" borderId="0" xfId="0" applyFont="1" applyFill="1" applyBorder="1" applyAlignment="1">
      <alignment horizontal="center" vertical="center"/>
    </xf>
    <xf numFmtId="0" fontId="161" fillId="77" borderId="0" xfId="0" applyFont="1" applyFill="1"/>
    <xf numFmtId="9" fontId="161" fillId="77" borderId="0" xfId="1582" applyFont="1" applyFill="1"/>
    <xf numFmtId="9" fontId="161" fillId="0" borderId="0" xfId="1582" applyFont="1" applyFill="1" applyBorder="1"/>
    <xf numFmtId="0" fontId="161" fillId="0" borderId="0" xfId="0" applyFont="1"/>
    <xf numFmtId="9" fontId="161" fillId="0" borderId="0" xfId="1582" applyFont="1"/>
    <xf numFmtId="0" fontId="161" fillId="77" borderId="63" xfId="0" applyFont="1" applyFill="1" applyBorder="1"/>
    <xf numFmtId="9" fontId="161" fillId="77" borderId="63" xfId="1582" applyFont="1" applyFill="1" applyBorder="1"/>
    <xf numFmtId="0" fontId="160" fillId="0" borderId="0" xfId="0" applyFont="1"/>
    <xf numFmtId="9" fontId="160" fillId="0" borderId="0" xfId="1582" applyFont="1"/>
    <xf numFmtId="9" fontId="160" fillId="0" borderId="0" xfId="1582" applyFont="1" applyFill="1" applyBorder="1"/>
    <xf numFmtId="0" fontId="162" fillId="0" borderId="0" xfId="0" applyFont="1" applyFill="1" applyBorder="1" applyAlignment="1">
      <alignment horizontal="center" vertical="center"/>
    </xf>
    <xf numFmtId="9" fontId="162" fillId="0" borderId="0" xfId="1582" applyFont="1" applyFill="1" applyBorder="1"/>
    <xf numFmtId="0" fontId="126" fillId="0" borderId="0" xfId="0" applyFont="1" applyFill="1" applyBorder="1"/>
    <xf numFmtId="179" fontId="131" fillId="77" borderId="63" xfId="1560" applyNumberFormat="1" applyFont="1" applyFill="1" applyBorder="1"/>
    <xf numFmtId="0" fontId="1" fillId="0" borderId="0" xfId="0" applyFont="1" applyFill="1"/>
    <xf numFmtId="179" fontId="1" fillId="0" borderId="0" xfId="1560" applyNumberFormat="1" applyFont="1" applyFill="1"/>
    <xf numFmtId="182" fontId="1" fillId="0" borderId="0" xfId="1582" applyNumberFormat="1" applyFont="1" applyFill="1"/>
    <xf numFmtId="0" fontId="126" fillId="72" borderId="0" xfId="0" applyFont="1" applyFill="1" applyBorder="1" applyAlignment="1">
      <alignment horizontal="center" wrapText="1"/>
    </xf>
    <xf numFmtId="0" fontId="126" fillId="72" borderId="51" xfId="0" applyFont="1" applyFill="1" applyBorder="1" applyAlignment="1">
      <alignment horizontal="center" wrapText="1"/>
    </xf>
    <xf numFmtId="0" fontId="126" fillId="72" borderId="47" xfId="0" applyFont="1" applyFill="1" applyBorder="1" applyAlignment="1">
      <alignment horizontal="left" indent="5"/>
    </xf>
    <xf numFmtId="0" fontId="125" fillId="72" borderId="31" xfId="0" applyFont="1" applyFill="1" applyBorder="1"/>
    <xf numFmtId="179" fontId="126" fillId="78" borderId="0" xfId="1560" applyNumberFormat="1" applyFont="1" applyFill="1" applyBorder="1" applyAlignment="1">
      <alignment horizontal="center" wrapText="1"/>
    </xf>
    <xf numFmtId="179" fontId="126" fillId="78" borderId="46" xfId="1560" applyNumberFormat="1" applyFont="1" applyFill="1" applyBorder="1" applyAlignment="1">
      <alignment horizontal="center" wrapText="1"/>
    </xf>
    <xf numFmtId="0" fontId="165" fillId="0" borderId="0" xfId="0" applyFont="1" applyFill="1" applyAlignment="1">
      <alignment horizontal="center" wrapText="1"/>
    </xf>
    <xf numFmtId="181" fontId="1" fillId="0" borderId="0" xfId="1560" applyNumberFormat="1" applyFont="1" applyFill="1"/>
    <xf numFmtId="181" fontId="126" fillId="0" borderId="0" xfId="1560" applyNumberFormat="1" applyFont="1" applyFill="1"/>
    <xf numFmtId="182" fontId="126" fillId="0" borderId="0" xfId="1582" applyNumberFormat="1" applyFont="1" applyFill="1"/>
    <xf numFmtId="0" fontId="1" fillId="0" borderId="0" xfId="0" applyFont="1" applyFill="1" applyAlignment="1">
      <alignment vertical="top" wrapText="1"/>
    </xf>
    <xf numFmtId="181" fontId="1" fillId="0" borderId="0" xfId="0" applyNumberFormat="1" applyFont="1" applyFill="1" applyAlignment="1">
      <alignment vertical="top" wrapText="1"/>
    </xf>
    <xf numFmtId="181" fontId="1" fillId="0" borderId="0" xfId="0" applyNumberFormat="1" applyFont="1" applyFill="1"/>
    <xf numFmtId="0" fontId="143" fillId="0" borderId="0" xfId="0" applyFont="1" applyFill="1" applyAlignment="1">
      <alignment vertical="top" wrapText="1"/>
    </xf>
    <xf numFmtId="43" fontId="1" fillId="0" borderId="0" xfId="0" applyNumberFormat="1" applyFont="1" applyFill="1"/>
    <xf numFmtId="0" fontId="104" fillId="0" borderId="0" xfId="0" applyFont="1" applyFill="1" applyAlignment="1">
      <alignment horizontal="center" vertical="center" wrapText="1"/>
    </xf>
    <xf numFmtId="0" fontId="126" fillId="0" borderId="35" xfId="0" applyFont="1" applyFill="1" applyBorder="1" applyAlignment="1">
      <alignment horizontal="center"/>
    </xf>
    <xf numFmtId="0" fontId="1" fillId="0" borderId="0" xfId="0" applyFont="1" applyFill="1" applyAlignment="1">
      <alignment vertical="center"/>
    </xf>
    <xf numFmtId="0" fontId="126" fillId="0" borderId="35" xfId="0" applyFont="1" applyFill="1" applyBorder="1"/>
    <xf numFmtId="0" fontId="143" fillId="0" borderId="35" xfId="0" applyFont="1" applyFill="1" applyBorder="1" applyAlignment="1">
      <alignment horizontal="center" wrapText="1"/>
    </xf>
    <xf numFmtId="0" fontId="142" fillId="0" borderId="35" xfId="0" applyFont="1" applyFill="1" applyBorder="1" applyAlignment="1">
      <alignment horizontal="center"/>
    </xf>
    <xf numFmtId="179" fontId="1" fillId="0" borderId="0" xfId="0" applyNumberFormat="1" applyFont="1" applyFill="1"/>
    <xf numFmtId="0" fontId="1" fillId="0" borderId="35" xfId="0" applyFont="1" applyFill="1" applyBorder="1"/>
    <xf numFmtId="181" fontId="1" fillId="0" borderId="35" xfId="1560" applyNumberFormat="1" applyFont="1" applyFill="1" applyBorder="1"/>
    <xf numFmtId="182" fontId="1" fillId="0" borderId="35" xfId="1582" applyNumberFormat="1" applyFont="1" applyFill="1" applyBorder="1"/>
    <xf numFmtId="0" fontId="126" fillId="0" borderId="0" xfId="0" applyFont="1" applyFill="1" applyAlignment="1">
      <alignment horizontal="left"/>
    </xf>
    <xf numFmtId="0" fontId="136" fillId="0" borderId="0" xfId="0" applyFont="1" applyFill="1"/>
    <xf numFmtId="179" fontId="136" fillId="0" borderId="0" xfId="1560" applyNumberFormat="1" applyFont="1" applyFill="1"/>
    <xf numFmtId="0" fontId="126" fillId="0" borderId="56" xfId="0" applyFont="1" applyFill="1" applyBorder="1" applyAlignment="1">
      <alignment horizontal="center"/>
    </xf>
    <xf numFmtId="0" fontId="1" fillId="0" borderId="0" xfId="0" applyFont="1" applyFill="1" applyAlignment="1">
      <alignment horizontal="left" vertical="center" wrapText="1"/>
    </xf>
    <xf numFmtId="10" fontId="1" fillId="0" borderId="57" xfId="1582" applyNumberFormat="1" applyFont="1" applyFill="1" applyBorder="1"/>
    <xf numFmtId="179" fontId="1" fillId="0" borderId="57" xfId="1560" applyNumberFormat="1" applyFont="1" applyFill="1" applyBorder="1"/>
    <xf numFmtId="10" fontId="1" fillId="0" borderId="58" xfId="1582" applyNumberFormat="1" applyFont="1" applyFill="1" applyBorder="1"/>
    <xf numFmtId="179" fontId="1" fillId="0" borderId="58" xfId="1560" applyNumberFormat="1" applyFont="1" applyFill="1" applyBorder="1"/>
    <xf numFmtId="0" fontId="126" fillId="0" borderId="0" xfId="0" applyFont="1" applyFill="1" applyAlignment="1">
      <alignment horizontal="left" vertical="center" wrapText="1"/>
    </xf>
    <xf numFmtId="14" fontId="1" fillId="0" borderId="0" xfId="0" applyNumberFormat="1" applyFont="1" applyFill="1"/>
    <xf numFmtId="0" fontId="15" fillId="71" borderId="0" xfId="0" applyFont="1" applyFill="1"/>
    <xf numFmtId="0" fontId="167" fillId="71" borderId="35" xfId="0" applyFont="1" applyFill="1" applyBorder="1" applyAlignment="1">
      <alignment horizontal="center"/>
    </xf>
    <xf numFmtId="0" fontId="167" fillId="71" borderId="0" xfId="0" applyFont="1" applyFill="1" applyAlignment="1">
      <alignment horizontal="center"/>
    </xf>
    <xf numFmtId="0" fontId="167" fillId="71" borderId="0" xfId="0" applyFont="1" applyFill="1" applyBorder="1" applyAlignment="1">
      <alignment horizontal="center"/>
    </xf>
    <xf numFmtId="0" fontId="15" fillId="0" borderId="0" xfId="0" applyFont="1"/>
    <xf numFmtId="0" fontId="168" fillId="71" borderId="0" xfId="0" applyFont="1" applyFill="1"/>
    <xf numFmtId="0" fontId="169" fillId="71" borderId="0" xfId="0" applyFont="1" applyFill="1"/>
    <xf numFmtId="0" fontId="15" fillId="71" borderId="0" xfId="0" applyFont="1" applyFill="1" applyBorder="1" applyAlignment="1">
      <alignment horizontal="center" wrapText="1"/>
    </xf>
    <xf numFmtId="0" fontId="167" fillId="71" borderId="35" xfId="0" applyFont="1" applyFill="1" applyBorder="1" applyAlignment="1">
      <alignment horizontal="left"/>
    </xf>
    <xf numFmtId="0" fontId="169" fillId="71" borderId="35" xfId="0" applyFont="1" applyFill="1" applyBorder="1" applyAlignment="1">
      <alignment horizontal="center" wrapText="1"/>
    </xf>
    <xf numFmtId="0" fontId="15" fillId="71" borderId="0" xfId="0" applyFont="1" applyFill="1" applyBorder="1"/>
    <xf numFmtId="0" fontId="15" fillId="77" borderId="0" xfId="0" applyFont="1" applyFill="1"/>
    <xf numFmtId="1" fontId="15" fillId="77" borderId="0" xfId="0" applyNumberFormat="1" applyFont="1" applyFill="1" applyAlignment="1">
      <alignment horizontal="center"/>
    </xf>
    <xf numFmtId="182" fontId="15" fillId="77" borderId="0" xfId="1582" applyNumberFormat="1" applyFont="1" applyFill="1"/>
    <xf numFmtId="1" fontId="15" fillId="71" borderId="0" xfId="0" applyNumberFormat="1" applyFont="1" applyFill="1" applyAlignment="1">
      <alignment horizontal="center"/>
    </xf>
    <xf numFmtId="182" fontId="15" fillId="71" borderId="0" xfId="1582" applyNumberFormat="1" applyFont="1" applyFill="1"/>
    <xf numFmtId="0" fontId="15" fillId="71" borderId="35" xfId="0" applyFont="1" applyFill="1" applyBorder="1"/>
    <xf numFmtId="1" fontId="15" fillId="71" borderId="35" xfId="0" applyNumberFormat="1" applyFont="1" applyFill="1" applyBorder="1" applyAlignment="1">
      <alignment horizontal="center"/>
    </xf>
    <xf numFmtId="182" fontId="15" fillId="71" borderId="35" xfId="1582" applyNumberFormat="1" applyFont="1" applyFill="1" applyBorder="1"/>
    <xf numFmtId="0" fontId="167" fillId="77" borderId="0" xfId="0" applyFont="1" applyFill="1"/>
    <xf numFmtId="0" fontId="167" fillId="77" borderId="0" xfId="0" applyFont="1" applyFill="1" applyAlignment="1">
      <alignment horizontal="left" indent="2"/>
    </xf>
    <xf numFmtId="1" fontId="167" fillId="77" borderId="0" xfId="0" applyNumberFormat="1" applyFont="1" applyFill="1" applyAlignment="1">
      <alignment horizontal="center"/>
    </xf>
    <xf numFmtId="182" fontId="167" fillId="77" borderId="0" xfId="0" applyNumberFormat="1" applyFont="1" applyFill="1"/>
    <xf numFmtId="0" fontId="167" fillId="71" borderId="0" xfId="0" applyFont="1" applyFill="1"/>
    <xf numFmtId="1" fontId="15" fillId="71" borderId="0" xfId="0" applyNumberFormat="1" applyFont="1" applyFill="1" applyAlignment="1"/>
    <xf numFmtId="0" fontId="15" fillId="77" borderId="0" xfId="0" applyFont="1" applyFill="1" applyBorder="1"/>
    <xf numFmtId="0" fontId="15" fillId="77" borderId="35" xfId="0" applyFont="1" applyFill="1" applyBorder="1"/>
    <xf numFmtId="1" fontId="15" fillId="77" borderId="35" xfId="0" applyNumberFormat="1" applyFont="1" applyFill="1" applyBorder="1" applyAlignment="1">
      <alignment horizontal="center"/>
    </xf>
    <xf numFmtId="182" fontId="15" fillId="77" borderId="35" xfId="1582" applyNumberFormat="1" applyFont="1" applyFill="1" applyBorder="1"/>
    <xf numFmtId="0" fontId="167" fillId="71" borderId="0" xfId="0" applyFont="1" applyFill="1" applyAlignment="1">
      <alignment horizontal="right"/>
    </xf>
    <xf numFmtId="0" fontId="167" fillId="71" borderId="0" xfId="0" applyFont="1" applyFill="1" applyAlignment="1">
      <alignment horizontal="left" indent="2"/>
    </xf>
    <xf numFmtId="1" fontId="167" fillId="71" borderId="0" xfId="0" applyNumberFormat="1" applyFont="1" applyFill="1" applyAlignment="1">
      <alignment horizontal="center"/>
    </xf>
    <xf numFmtId="182" fontId="167" fillId="71" borderId="0" xfId="1582" applyNumberFormat="1" applyFont="1" applyFill="1"/>
    <xf numFmtId="1" fontId="15" fillId="71" borderId="0" xfId="0" applyNumberFormat="1" applyFont="1" applyFill="1"/>
    <xf numFmtId="0" fontId="167" fillId="77" borderId="0" xfId="0" applyFont="1" applyFill="1" applyBorder="1"/>
    <xf numFmtId="1" fontId="167" fillId="77" borderId="0" xfId="0" applyNumberFormat="1" applyFont="1" applyFill="1" applyBorder="1" applyAlignment="1">
      <alignment horizontal="center"/>
    </xf>
    <xf numFmtId="182" fontId="167" fillId="77" borderId="0" xfId="1582" applyNumberFormat="1" applyFont="1" applyFill="1" applyBorder="1"/>
    <xf numFmtId="182" fontId="15" fillId="71" borderId="0" xfId="0" applyNumberFormat="1" applyFont="1" applyFill="1"/>
    <xf numFmtId="0" fontId="167" fillId="77" borderId="0" xfId="0" applyFont="1" applyFill="1" applyAlignment="1">
      <alignment horizontal="right"/>
    </xf>
    <xf numFmtId="182" fontId="167" fillId="77" borderId="0" xfId="1582" applyNumberFormat="1" applyFont="1" applyFill="1"/>
    <xf numFmtId="182" fontId="167" fillId="71" borderId="0" xfId="0" applyNumberFormat="1" applyFont="1" applyFill="1"/>
    <xf numFmtId="1" fontId="167" fillId="77" borderId="0" xfId="0" applyNumberFormat="1" applyFont="1" applyFill="1" applyBorder="1"/>
    <xf numFmtId="1" fontId="167" fillId="77" borderId="0" xfId="0" applyNumberFormat="1" applyFont="1" applyFill="1"/>
    <xf numFmtId="179" fontId="15" fillId="0" borderId="0" xfId="0" applyNumberFormat="1" applyFont="1"/>
    <xf numFmtId="0" fontId="15" fillId="75" borderId="0" xfId="0" applyFont="1" applyFill="1" applyBorder="1"/>
    <xf numFmtId="0" fontId="172" fillId="75" borderId="0" xfId="0" applyFont="1" applyFill="1" applyBorder="1" applyAlignment="1">
      <alignment horizontal="center"/>
    </xf>
    <xf numFmtId="0" fontId="173" fillId="0" borderId="0" xfId="0" applyFont="1"/>
    <xf numFmtId="0" fontId="172" fillId="76" borderId="56" xfId="0" applyFont="1" applyFill="1" applyBorder="1" applyAlignment="1">
      <alignment horizontal="center"/>
    </xf>
    <xf numFmtId="0" fontId="172" fillId="71" borderId="0" xfId="0" applyFont="1" applyFill="1" applyBorder="1" applyAlignment="1">
      <alignment horizontal="center"/>
    </xf>
    <xf numFmtId="0" fontId="15" fillId="0" borderId="0" xfId="0" applyFont="1" applyFill="1"/>
    <xf numFmtId="0" fontId="173" fillId="0" borderId="0" xfId="0" applyFont="1" applyFill="1" applyBorder="1"/>
    <xf numFmtId="0" fontId="15" fillId="75" borderId="32" xfId="0" applyFont="1" applyFill="1" applyBorder="1"/>
    <xf numFmtId="0" fontId="172" fillId="76" borderId="57" xfId="0" applyFont="1" applyFill="1" applyBorder="1" applyAlignment="1">
      <alignment horizontal="center"/>
    </xf>
    <xf numFmtId="0" fontId="153" fillId="71" borderId="35" xfId="1641" applyFont="1" applyFill="1" applyBorder="1"/>
    <xf numFmtId="0" fontId="172" fillId="71" borderId="35" xfId="0" applyFont="1" applyFill="1" applyBorder="1" applyAlignment="1">
      <alignment horizontal="center"/>
    </xf>
    <xf numFmtId="0" fontId="153" fillId="75" borderId="32" xfId="1562" applyFont="1" applyFill="1" applyBorder="1"/>
    <xf numFmtId="0" fontId="173" fillId="76" borderId="57" xfId="0" applyFont="1" applyFill="1" applyBorder="1"/>
    <xf numFmtId="0" fontId="153" fillId="71" borderId="0" xfId="1574" applyFont="1" applyFill="1" applyBorder="1"/>
    <xf numFmtId="179" fontId="173" fillId="71" borderId="0" xfId="0" applyNumberFormat="1" applyFont="1" applyFill="1" applyBorder="1"/>
    <xf numFmtId="0" fontId="153" fillId="75" borderId="0" xfId="1574" applyFont="1" applyFill="1" applyBorder="1"/>
    <xf numFmtId="179" fontId="173" fillId="75" borderId="0" xfId="1560" applyNumberFormat="1" applyFont="1" applyFill="1" applyBorder="1"/>
    <xf numFmtId="179" fontId="173" fillId="76" borderId="57" xfId="1560" applyNumberFormat="1" applyFont="1" applyFill="1" applyBorder="1"/>
    <xf numFmtId="0" fontId="153" fillId="71" borderId="0" xfId="1639" applyFont="1" applyFill="1" applyBorder="1"/>
    <xf numFmtId="0" fontId="153" fillId="71" borderId="0" xfId="1641" applyFont="1" applyFill="1" applyBorder="1"/>
    <xf numFmtId="179" fontId="173" fillId="71" borderId="35" xfId="0" applyNumberFormat="1" applyFont="1" applyFill="1" applyBorder="1"/>
    <xf numFmtId="0" fontId="173" fillId="0" borderId="0" xfId="0" applyFont="1" applyAlignment="1">
      <alignment horizontal="center"/>
    </xf>
    <xf numFmtId="0" fontId="153" fillId="75" borderId="32" xfId="1634" applyFont="1" applyFill="1" applyBorder="1"/>
    <xf numFmtId="0" fontId="173" fillId="75" borderId="0" xfId="0" applyFont="1" applyFill="1" applyBorder="1"/>
    <xf numFmtId="0" fontId="153" fillId="75" borderId="32" xfId="1639" applyFont="1" applyFill="1" applyBorder="1"/>
    <xf numFmtId="179" fontId="173" fillId="75" borderId="0" xfId="0" applyNumberFormat="1" applyFont="1" applyFill="1" applyBorder="1"/>
    <xf numFmtId="0" fontId="153" fillId="75" borderId="32" xfId="1640" applyFont="1" applyFill="1" applyBorder="1"/>
    <xf numFmtId="0" fontId="153" fillId="75" borderId="32" xfId="1641" applyFont="1" applyFill="1" applyBorder="1"/>
    <xf numFmtId="0" fontId="153" fillId="75" borderId="0" xfId="1641" applyFont="1" applyFill="1" applyBorder="1"/>
    <xf numFmtId="0" fontId="153" fillId="75" borderId="35" xfId="1641" applyFont="1" applyFill="1" applyBorder="1"/>
    <xf numFmtId="0" fontId="15" fillId="75" borderId="35" xfId="0" applyFont="1" applyFill="1" applyBorder="1"/>
    <xf numFmtId="179" fontId="173" fillId="75" borderId="35" xfId="0" applyNumberFormat="1" applyFont="1" applyFill="1" applyBorder="1"/>
    <xf numFmtId="179" fontId="173" fillId="75" borderId="49" xfId="0" applyNumberFormat="1" applyFont="1" applyFill="1" applyBorder="1"/>
    <xf numFmtId="179" fontId="173" fillId="76" borderId="58" xfId="0" applyNumberFormat="1" applyFont="1" applyFill="1" applyBorder="1"/>
    <xf numFmtId="179" fontId="173" fillId="0" borderId="0" xfId="0" applyNumberFormat="1" applyFont="1"/>
    <xf numFmtId="9" fontId="15" fillId="0" borderId="0" xfId="1582" applyFont="1"/>
    <xf numFmtId="179" fontId="169" fillId="0" borderId="0" xfId="0" applyNumberFormat="1" applyFont="1"/>
    <xf numFmtId="0" fontId="17" fillId="75" borderId="32" xfId="0" applyFont="1" applyFill="1" applyBorder="1" applyAlignment="1">
      <alignment horizontal="center" wrapText="1"/>
    </xf>
    <xf numFmtId="0" fontId="17" fillId="75" borderId="0" xfId="0" applyFont="1" applyFill="1" applyBorder="1" applyAlignment="1">
      <alignment horizontal="center" wrapText="1"/>
    </xf>
    <xf numFmtId="0" fontId="17" fillId="75" borderId="34" xfId="0" applyFont="1" applyFill="1" applyBorder="1" applyAlignment="1">
      <alignment horizontal="center"/>
    </xf>
    <xf numFmtId="0" fontId="17" fillId="75" borderId="39" xfId="0" applyFont="1" applyFill="1" applyBorder="1" applyAlignment="1">
      <alignment horizontal="center"/>
    </xf>
    <xf numFmtId="0" fontId="17" fillId="75" borderId="32" xfId="0" applyFont="1" applyFill="1" applyBorder="1" applyAlignment="1">
      <alignment horizontal="right" wrapText="1"/>
    </xf>
    <xf numFmtId="0" fontId="17" fillId="75" borderId="0" xfId="0" applyFont="1" applyFill="1" applyBorder="1" applyAlignment="1">
      <alignment horizontal="right" wrapText="1"/>
    </xf>
    <xf numFmtId="0" fontId="17" fillId="75" borderId="32" xfId="0" applyFont="1" applyFill="1" applyBorder="1" applyAlignment="1">
      <alignment horizontal="right"/>
    </xf>
    <xf numFmtId="0" fontId="17" fillId="75" borderId="0" xfId="0" applyFont="1" applyFill="1" applyBorder="1" applyAlignment="1">
      <alignment horizontal="right"/>
    </xf>
    <xf numFmtId="0" fontId="17" fillId="75" borderId="0" xfId="0" applyFont="1" applyFill="1" applyBorder="1" applyAlignment="1">
      <alignment horizontal="left" vertical="top" wrapText="1"/>
    </xf>
    <xf numFmtId="0" fontId="2" fillId="75" borderId="0" xfId="0" applyFont="1" applyFill="1" applyBorder="1" applyAlignment="1">
      <alignment horizontal="left" vertical="top" wrapText="1"/>
    </xf>
    <xf numFmtId="0" fontId="17" fillId="75" borderId="41" xfId="0" applyFont="1" applyFill="1" applyBorder="1" applyAlignment="1">
      <alignment horizontal="right"/>
    </xf>
    <xf numFmtId="0" fontId="17" fillId="75" borderId="35" xfId="0" applyFont="1" applyFill="1" applyBorder="1" applyAlignment="1">
      <alignment horizontal="right"/>
    </xf>
    <xf numFmtId="0" fontId="113" fillId="74" borderId="38" xfId="1279" applyFont="1" applyFill="1" applyBorder="1" applyAlignment="1">
      <alignment horizontal="center"/>
    </xf>
    <xf numFmtId="0" fontId="113" fillId="74" borderId="34" xfId="1279" applyFont="1" applyFill="1" applyBorder="1" applyAlignment="1">
      <alignment horizontal="center"/>
    </xf>
    <xf numFmtId="0" fontId="113" fillId="74" borderId="39" xfId="1279" applyFont="1" applyFill="1" applyBorder="1" applyAlignment="1">
      <alignment horizontal="center"/>
    </xf>
    <xf numFmtId="0" fontId="102" fillId="71" borderId="0" xfId="1561" applyFont="1" applyFill="1" applyBorder="1" applyAlignment="1">
      <alignment horizontal="center"/>
    </xf>
    <xf numFmtId="0" fontId="102" fillId="71" borderId="40" xfId="1561" applyFont="1" applyFill="1" applyBorder="1" applyAlignment="1">
      <alignment horizontal="center"/>
    </xf>
    <xf numFmtId="0" fontId="111" fillId="75" borderId="32" xfId="0" applyFont="1" applyFill="1" applyBorder="1" applyAlignment="1">
      <alignment horizontal="right"/>
    </xf>
    <xf numFmtId="0" fontId="111" fillId="75" borderId="0" xfId="0" applyFont="1" applyFill="1" applyBorder="1" applyAlignment="1">
      <alignment horizontal="right"/>
    </xf>
    <xf numFmtId="0" fontId="168" fillId="71" borderId="34" xfId="0" applyFont="1" applyFill="1" applyBorder="1" applyAlignment="1">
      <alignment horizontal="center" wrapText="1"/>
    </xf>
    <xf numFmtId="0" fontId="168" fillId="71" borderId="0" xfId="0" applyFont="1" applyFill="1" applyBorder="1" applyAlignment="1">
      <alignment horizontal="center" wrapText="1"/>
    </xf>
    <xf numFmtId="0" fontId="167" fillId="71" borderId="0" xfId="0" applyFont="1" applyFill="1" applyAlignment="1">
      <alignment horizontal="left"/>
    </xf>
    <xf numFmtId="0" fontId="153" fillId="75" borderId="0" xfId="1574" applyFont="1" applyFill="1" applyBorder="1" applyAlignment="1">
      <alignment horizontal="left" indent="2"/>
    </xf>
    <xf numFmtId="0" fontId="172" fillId="75" borderId="0" xfId="0" applyFont="1" applyFill="1" applyBorder="1" applyAlignment="1">
      <alignment horizontal="center"/>
    </xf>
    <xf numFmtId="0" fontId="167" fillId="75" borderId="32" xfId="0" applyFont="1" applyFill="1" applyBorder="1" applyAlignment="1">
      <alignment horizontal="center" wrapText="1"/>
    </xf>
    <xf numFmtId="0" fontId="167" fillId="75" borderId="0" xfId="0" applyFont="1" applyFill="1" applyBorder="1" applyAlignment="1">
      <alignment horizontal="center" wrapText="1"/>
    </xf>
    <xf numFmtId="0" fontId="143" fillId="0" borderId="0" xfId="0" applyFont="1" applyFill="1" applyAlignment="1">
      <alignment horizontal="left" vertical="top" wrapText="1"/>
    </xf>
    <xf numFmtId="0" fontId="104" fillId="0" borderId="0" xfId="0" applyFont="1" applyFill="1" applyAlignment="1">
      <alignment horizontal="center" vertical="center" wrapText="1"/>
    </xf>
    <xf numFmtId="0" fontId="163" fillId="0" borderId="34" xfId="0" applyFont="1" applyFill="1" applyBorder="1" applyAlignment="1">
      <alignment horizontal="center" vertical="center" wrapText="1"/>
    </xf>
    <xf numFmtId="0" fontId="103" fillId="72" borderId="38" xfId="1633" applyFont="1" applyFill="1" applyBorder="1" applyAlignment="1">
      <alignment horizontal="center"/>
    </xf>
    <xf numFmtId="0" fontId="103" fillId="72" borderId="34" xfId="1633" applyFont="1" applyFill="1" applyBorder="1" applyAlignment="1">
      <alignment horizontal="center"/>
    </xf>
    <xf numFmtId="0" fontId="103" fillId="72" borderId="39" xfId="1633" applyFont="1" applyFill="1" applyBorder="1" applyAlignment="1">
      <alignment horizontal="center"/>
    </xf>
    <xf numFmtId="0" fontId="156" fillId="71" borderId="0" xfId="0" applyFont="1" applyFill="1" applyBorder="1" applyAlignment="1">
      <alignment horizontal="center" vertical="center" wrapText="1"/>
    </xf>
    <xf numFmtId="0" fontId="126" fillId="71" borderId="41" xfId="0" applyFont="1" applyFill="1" applyBorder="1" applyAlignment="1">
      <alignment horizontal="right"/>
    </xf>
    <xf numFmtId="0" fontId="126" fillId="71" borderId="35" xfId="0" applyFont="1" applyFill="1" applyBorder="1" applyAlignment="1">
      <alignment horizontal="right"/>
    </xf>
    <xf numFmtId="0" fontId="126" fillId="72" borderId="50" xfId="0" applyFont="1" applyFill="1" applyBorder="1" applyAlignment="1">
      <alignment horizontal="center" wrapText="1"/>
    </xf>
    <xf numFmtId="0" fontId="126" fillId="72" borderId="51" xfId="0" applyFont="1" applyFill="1" applyBorder="1" applyAlignment="1">
      <alignment horizontal="center" wrapText="1"/>
    </xf>
    <xf numFmtId="0" fontId="103" fillId="72" borderId="38" xfId="1279" applyFont="1" applyFill="1" applyBorder="1" applyAlignment="1">
      <alignment horizontal="center"/>
    </xf>
    <xf numFmtId="0" fontId="103" fillId="72" borderId="34" xfId="1279" applyFont="1" applyFill="1" applyBorder="1" applyAlignment="1">
      <alignment horizontal="center"/>
    </xf>
    <xf numFmtId="0" fontId="103" fillId="72" borderId="39" xfId="1279" applyFont="1" applyFill="1" applyBorder="1" applyAlignment="1">
      <alignment horizontal="center"/>
    </xf>
    <xf numFmtId="0" fontId="159" fillId="72" borderId="60" xfId="0" applyFont="1" applyFill="1" applyBorder="1" applyAlignment="1">
      <alignment horizontal="center"/>
    </xf>
    <xf numFmtId="0" fontId="159" fillId="72" borderId="16" xfId="0" applyFont="1" applyFill="1" applyBorder="1" applyAlignment="1">
      <alignment horizontal="center"/>
    </xf>
    <xf numFmtId="0" fontId="159" fillId="72" borderId="61" xfId="0" applyFont="1" applyFill="1" applyBorder="1" applyAlignment="1">
      <alignment horizontal="center"/>
    </xf>
    <xf numFmtId="14" fontId="125" fillId="70" borderId="54" xfId="0" applyNumberFormat="1" applyFont="1" applyFill="1" applyBorder="1" applyAlignment="1">
      <alignment horizontal="center"/>
    </xf>
    <xf numFmtId="0" fontId="152" fillId="70" borderId="54" xfId="0" applyFont="1" applyFill="1" applyBorder="1" applyAlignment="1">
      <alignment horizontal="left" vertical="center"/>
    </xf>
    <xf numFmtId="0" fontId="152" fillId="70" borderId="44" xfId="0" applyFont="1" applyFill="1" applyBorder="1" applyAlignment="1">
      <alignment horizontal="left" vertical="center"/>
    </xf>
    <xf numFmtId="0" fontId="152" fillId="70" borderId="0" xfId="0" applyFont="1" applyFill="1" applyBorder="1" applyAlignment="1">
      <alignment horizontal="left" vertical="center"/>
    </xf>
    <xf numFmtId="0" fontId="152" fillId="70" borderId="46" xfId="0" applyFont="1" applyFill="1" applyBorder="1" applyAlignment="1">
      <alignment horizontal="left" vertical="center"/>
    </xf>
    <xf numFmtId="0" fontId="152" fillId="70" borderId="31" xfId="0" applyFont="1" applyFill="1" applyBorder="1" applyAlignment="1">
      <alignment horizontal="left" vertical="center"/>
    </xf>
    <xf numFmtId="0" fontId="152" fillId="70" borderId="48" xfId="0" applyFont="1" applyFill="1" applyBorder="1" applyAlignment="1">
      <alignment horizontal="left" vertical="center"/>
    </xf>
    <xf numFmtId="0" fontId="125" fillId="70" borderId="0" xfId="0" applyFont="1" applyFill="1" applyBorder="1" applyAlignment="1">
      <alignment horizontal="center"/>
    </xf>
    <xf numFmtId="0" fontId="125" fillId="70" borderId="0" xfId="0" applyFont="1" applyFill="1" applyBorder="1" applyAlignment="1">
      <alignment horizontal="center" vertical="center"/>
    </xf>
    <xf numFmtId="0" fontId="125" fillId="70" borderId="31" xfId="1561" applyFont="1" applyFill="1" applyBorder="1" applyAlignment="1">
      <alignment horizontal="center"/>
    </xf>
    <xf numFmtId="0" fontId="177" fillId="0" borderId="0" xfId="0" applyFont="1" applyFill="1" applyBorder="1" applyAlignment="1">
      <alignment horizontal="right"/>
    </xf>
    <xf numFmtId="14" fontId="176" fillId="0" borderId="0" xfId="0" applyNumberFormat="1" applyFont="1" applyFill="1" applyBorder="1" applyAlignment="1">
      <alignment horizontal="center"/>
    </xf>
    <xf numFmtId="0" fontId="174" fillId="0" borderId="0" xfId="1279" applyFont="1" applyFill="1" applyBorder="1" applyAlignment="1">
      <alignment horizontal="center"/>
    </xf>
    <xf numFmtId="0" fontId="176" fillId="0" borderId="0" xfId="0" applyFont="1" applyFill="1" applyBorder="1"/>
    <xf numFmtId="0" fontId="177" fillId="0" borderId="0" xfId="0" applyFont="1" applyFill="1" applyBorder="1"/>
    <xf numFmtId="0" fontId="178" fillId="0" borderId="0" xfId="1561" applyFont="1" applyFill="1" applyBorder="1" applyAlignment="1"/>
    <xf numFmtId="0" fontId="179" fillId="0" borderId="0" xfId="1561" applyFont="1" applyFill="1" applyBorder="1" applyAlignment="1"/>
    <xf numFmtId="0" fontId="176" fillId="0" borderId="0" xfId="0" applyFont="1" applyFill="1" applyBorder="1" applyAlignment="1">
      <alignment horizontal="center"/>
    </xf>
    <xf numFmtId="0" fontId="176" fillId="0" borderId="0" xfId="1561" applyFont="1" applyFill="1" applyBorder="1" applyAlignment="1">
      <alignment horizontal="left" vertical="top"/>
    </xf>
    <xf numFmtId="0" fontId="181" fillId="0" borderId="0" xfId="0" applyFont="1" applyFill="1" applyBorder="1" applyAlignment="1">
      <alignment horizontal="center"/>
    </xf>
    <xf numFmtId="14" fontId="181" fillId="0" borderId="0" xfId="1561" applyNumberFormat="1" applyFont="1" applyFill="1" applyBorder="1" applyAlignment="1">
      <alignment horizontal="center" vertical="center" wrapText="1"/>
    </xf>
    <xf numFmtId="0" fontId="180" fillId="0" borderId="0" xfId="0" applyFont="1" applyFill="1" applyBorder="1" applyAlignment="1">
      <alignment horizontal="right"/>
    </xf>
    <xf numFmtId="0" fontId="176" fillId="0" borderId="0" xfId="1561" applyFont="1" applyFill="1" applyBorder="1" applyAlignment="1">
      <alignment vertical="top"/>
    </xf>
    <xf numFmtId="0" fontId="181" fillId="0" borderId="0" xfId="1561" applyFont="1" applyFill="1" applyBorder="1" applyAlignment="1">
      <alignment horizontal="right" vertical="top" wrapText="1"/>
    </xf>
    <xf numFmtId="0" fontId="176" fillId="0" borderId="0" xfId="1561" applyFont="1" applyFill="1" applyBorder="1" applyAlignment="1">
      <alignment vertical="top" wrapText="1"/>
    </xf>
    <xf numFmtId="0" fontId="180" fillId="0" borderId="0" xfId="0" applyFont="1" applyFill="1" applyBorder="1" applyAlignment="1">
      <alignment vertical="top" wrapText="1"/>
    </xf>
    <xf numFmtId="0" fontId="180" fillId="0" borderId="0" xfId="0" applyFont="1" applyFill="1" applyBorder="1" applyAlignment="1"/>
    <xf numFmtId="0" fontId="180" fillId="0" borderId="0" xfId="0" applyFont="1" applyFill="1" applyBorder="1" applyAlignment="1">
      <alignment horizontal="center" wrapText="1"/>
    </xf>
    <xf numFmtId="0" fontId="180" fillId="0" borderId="0" xfId="0" applyFont="1" applyFill="1" applyBorder="1"/>
    <xf numFmtId="179" fontId="176" fillId="0" borderId="0" xfId="1560" applyNumberFormat="1" applyFont="1" applyFill="1" applyBorder="1"/>
    <xf numFmtId="9" fontId="181" fillId="0" borderId="0" xfId="1582" applyFont="1" applyFill="1" applyBorder="1"/>
    <xf numFmtId="10" fontId="181" fillId="0" borderId="0" xfId="1582" applyNumberFormat="1" applyFont="1" applyFill="1" applyBorder="1"/>
    <xf numFmtId="179" fontId="180" fillId="0" borderId="0" xfId="0" applyNumberFormat="1" applyFont="1" applyFill="1" applyBorder="1"/>
    <xf numFmtId="179" fontId="176" fillId="0" borderId="0" xfId="0" applyNumberFormat="1" applyFont="1" applyFill="1" applyBorder="1"/>
    <xf numFmtId="37" fontId="176" fillId="0" borderId="0" xfId="0" applyNumberFormat="1" applyFont="1" applyFill="1" applyBorder="1"/>
    <xf numFmtId="182" fontId="181" fillId="0" borderId="0" xfId="0" applyNumberFormat="1" applyFont="1" applyFill="1" applyBorder="1"/>
    <xf numFmtId="182" fontId="181" fillId="0" borderId="0" xfId="1582" applyNumberFormat="1" applyFont="1" applyFill="1" applyBorder="1"/>
    <xf numFmtId="43" fontId="176" fillId="0" borderId="0" xfId="0" applyNumberFormat="1" applyFont="1" applyFill="1" applyBorder="1"/>
    <xf numFmtId="43" fontId="176" fillId="0" borderId="0" xfId="1560" applyNumberFormat="1" applyFont="1" applyFill="1" applyBorder="1"/>
    <xf numFmtId="179" fontId="180" fillId="0" borderId="0" xfId="1560" applyNumberFormat="1" applyFont="1" applyFill="1" applyBorder="1"/>
    <xf numFmtId="0" fontId="174" fillId="0" borderId="0" xfId="1633" applyFont="1" applyFill="1" applyBorder="1" applyAlignment="1">
      <alignment horizontal="center"/>
    </xf>
    <xf numFmtId="0" fontId="176" fillId="0" borderId="0" xfId="0" applyFont="1" applyFill="1" applyBorder="1" applyAlignment="1">
      <alignment vertical="top" wrapText="1"/>
    </xf>
    <xf numFmtId="0" fontId="179" fillId="0" borderId="0" xfId="1561" applyFont="1" applyFill="1" applyBorder="1" applyAlignment="1">
      <alignment horizontal="center"/>
    </xf>
    <xf numFmtId="0" fontId="180" fillId="0" borderId="0" xfId="0" applyFont="1" applyFill="1" applyBorder="1" applyAlignment="1">
      <alignment horizontal="left" vertical="top" wrapText="1"/>
    </xf>
    <xf numFmtId="37" fontId="177" fillId="0" borderId="0" xfId="1619" applyNumberFormat="1" applyFont="1" applyFill="1" applyBorder="1" applyAlignment="1">
      <alignment horizontal="center"/>
    </xf>
    <xf numFmtId="0" fontId="176" fillId="0" borderId="0" xfId="0" applyFont="1" applyFill="1" applyBorder="1" applyAlignment="1">
      <alignment horizontal="center" vertical="center"/>
    </xf>
    <xf numFmtId="0" fontId="176" fillId="0" borderId="0" xfId="0" applyFont="1" applyFill="1" applyBorder="1" applyAlignment="1">
      <alignment horizontal="left"/>
    </xf>
    <xf numFmtId="0" fontId="176" fillId="0" borderId="0" xfId="1561" applyFont="1" applyFill="1" applyBorder="1"/>
    <xf numFmtId="0" fontId="177" fillId="0" borderId="0" xfId="0" applyFont="1" applyFill="1" applyBorder="1" applyAlignment="1">
      <alignment horizontal="center" vertical="center"/>
    </xf>
    <xf numFmtId="0" fontId="177" fillId="0" borderId="0" xfId="0" applyFont="1" applyFill="1" applyBorder="1" applyAlignment="1">
      <alignment horizontal="center" vertical="center" wrapText="1"/>
    </xf>
    <xf numFmtId="0" fontId="182" fillId="0" borderId="0" xfId="0" applyFont="1" applyFill="1" applyBorder="1" applyAlignment="1">
      <alignment horizontal="right"/>
    </xf>
    <xf numFmtId="0" fontId="182" fillId="0" borderId="0" xfId="0" applyFont="1" applyFill="1" applyBorder="1" applyAlignment="1">
      <alignment horizontal="left"/>
    </xf>
    <xf numFmtId="0" fontId="176" fillId="0" borderId="0" xfId="0" applyFont="1" applyFill="1" applyBorder="1" applyAlignment="1">
      <alignment horizontal="left" indent="2"/>
    </xf>
    <xf numFmtId="179" fontId="176" fillId="0" borderId="0" xfId="1560" applyNumberFormat="1" applyFont="1" applyFill="1" applyBorder="1" applyAlignment="1">
      <alignment horizontal="left"/>
    </xf>
    <xf numFmtId="0" fontId="180" fillId="0" borderId="0" xfId="0" applyFont="1" applyFill="1" applyBorder="1" applyAlignment="1">
      <alignment horizontal="left" indent="6"/>
    </xf>
    <xf numFmtId="10" fontId="176" fillId="0" borderId="0" xfId="1582" applyNumberFormat="1" applyFont="1" applyFill="1" applyBorder="1" applyAlignment="1">
      <alignment horizontal="left"/>
    </xf>
    <xf numFmtId="10" fontId="176" fillId="0" borderId="0" xfId="1582" applyNumberFormat="1" applyFont="1" applyFill="1" applyBorder="1"/>
    <xf numFmtId="0" fontId="176" fillId="0" borderId="0" xfId="0" applyFont="1" applyFill="1" applyBorder="1" applyAlignment="1">
      <alignment horizontal="left" indent="3"/>
    </xf>
    <xf numFmtId="0" fontId="174" fillId="0" borderId="0" xfId="1279" applyFont="1" applyFill="1" applyBorder="1" applyAlignment="1"/>
    <xf numFmtId="0" fontId="180" fillId="0" borderId="0" xfId="0" applyFont="1" applyFill="1" applyBorder="1" applyAlignment="1">
      <alignment horizontal="left" vertical="top"/>
    </xf>
    <xf numFmtId="0" fontId="180" fillId="0" borderId="0" xfId="0" applyFont="1" applyFill="1" applyBorder="1" applyAlignment="1">
      <alignment horizontal="right" vertical="top"/>
    </xf>
    <xf numFmtId="14" fontId="176" fillId="0" borderId="0" xfId="0" applyNumberFormat="1" applyFont="1" applyFill="1" applyBorder="1" applyAlignment="1">
      <alignment horizontal="right"/>
    </xf>
    <xf numFmtId="0" fontId="180" fillId="0" borderId="0" xfId="0" applyFont="1" applyFill="1" applyBorder="1" applyAlignment="1">
      <alignment vertical="top"/>
    </xf>
    <xf numFmtId="10" fontId="181" fillId="0" borderId="0" xfId="2405" applyNumberFormat="1" applyFont="1" applyFill="1" applyBorder="1" applyAlignment="1">
      <alignment horizontal="center"/>
    </xf>
    <xf numFmtId="0" fontId="186" fillId="0" borderId="0" xfId="0" applyFont="1" applyFill="1" applyBorder="1" applyAlignment="1">
      <alignment horizontal="left" vertical="top" wrapText="1"/>
    </xf>
    <xf numFmtId="10" fontId="177" fillId="0" borderId="0" xfId="1582" applyNumberFormat="1" applyFont="1" applyFill="1" applyBorder="1" applyAlignment="1"/>
    <xf numFmtId="179" fontId="184" fillId="0" borderId="0" xfId="1560" applyNumberFormat="1" applyFont="1" applyFill="1" applyBorder="1" applyProtection="1">
      <protection locked="0"/>
    </xf>
    <xf numFmtId="179" fontId="176" fillId="0" borderId="0" xfId="1560" applyNumberFormat="1" applyFont="1" applyFill="1" applyBorder="1" applyProtection="1">
      <protection locked="0"/>
    </xf>
    <xf numFmtId="179" fontId="176" fillId="0" borderId="0" xfId="1560" applyNumberFormat="1" applyFont="1" applyFill="1" applyBorder="1" applyProtection="1"/>
    <xf numFmtId="181" fontId="176" fillId="0" borderId="0" xfId="1560" applyNumberFormat="1" applyFont="1" applyFill="1" applyBorder="1" applyProtection="1">
      <protection locked="0"/>
    </xf>
    <xf numFmtId="0" fontId="179" fillId="0" borderId="0" xfId="0" applyFont="1" applyFill="1" applyBorder="1" applyAlignment="1">
      <alignment horizontal="center"/>
    </xf>
    <xf numFmtId="0" fontId="180" fillId="0" borderId="0" xfId="0" applyFont="1" applyFill="1" applyBorder="1" applyAlignment="1">
      <alignment horizontal="center"/>
    </xf>
    <xf numFmtId="0" fontId="184" fillId="0" borderId="0" xfId="0" applyNumberFormat="1" applyFont="1" applyFill="1" applyBorder="1" applyAlignment="1">
      <alignment horizontal="center"/>
    </xf>
    <xf numFmtId="179" fontId="180" fillId="0" borderId="0" xfId="1560" applyNumberFormat="1" applyFont="1" applyFill="1" applyBorder="1" applyAlignment="1">
      <alignment horizontal="center"/>
    </xf>
    <xf numFmtId="179" fontId="184" fillId="0" borderId="0" xfId="1560" applyNumberFormat="1" applyFont="1" applyFill="1" applyBorder="1"/>
    <xf numFmtId="0" fontId="184" fillId="0" borderId="0" xfId="1560" applyNumberFormat="1" applyFont="1" applyFill="1" applyBorder="1" applyAlignment="1">
      <alignment horizontal="center"/>
    </xf>
    <xf numFmtId="179" fontId="184" fillId="0" borderId="0" xfId="0" applyNumberFormat="1" applyFont="1" applyFill="1" applyBorder="1"/>
    <xf numFmtId="179" fontId="184" fillId="0" borderId="0" xfId="1560" applyNumberFormat="1" applyFont="1" applyFill="1" applyBorder="1" applyAlignment="1">
      <alignment horizontal="left"/>
    </xf>
    <xf numFmtId="179" fontId="180" fillId="0" borderId="0" xfId="1560" applyNumberFormat="1" applyFont="1" applyFill="1" applyBorder="1" applyProtection="1">
      <protection locked="0"/>
    </xf>
    <xf numFmtId="187" fontId="176" fillId="0" borderId="0" xfId="0" applyNumberFormat="1" applyFont="1" applyFill="1" applyBorder="1"/>
    <xf numFmtId="0" fontId="176" fillId="0" borderId="0" xfId="0" applyFont="1" applyFill="1" applyBorder="1" applyAlignment="1">
      <alignment horizontal="left" indent="4"/>
    </xf>
    <xf numFmtId="187" fontId="176" fillId="0" borderId="0" xfId="2436" applyNumberFormat="1" applyFont="1" applyFill="1" applyBorder="1"/>
    <xf numFmtId="0" fontId="180" fillId="0" borderId="0" xfId="0" applyFont="1" applyFill="1" applyBorder="1" applyAlignment="1">
      <alignment horizontal="left" indent="2"/>
    </xf>
    <xf numFmtId="0" fontId="174" fillId="0" borderId="0" xfId="1279" applyFont="1" applyFill="1" applyBorder="1" applyAlignment="1">
      <alignment horizontal="center"/>
    </xf>
    <xf numFmtId="0" fontId="182" fillId="0" borderId="0" xfId="0" applyFont="1" applyFill="1" applyBorder="1"/>
    <xf numFmtId="0" fontId="180" fillId="0" borderId="0" xfId="0" applyFont="1" applyFill="1" applyBorder="1" applyAlignment="1">
      <alignment horizontal="center"/>
    </xf>
    <xf numFmtId="0" fontId="180" fillId="0" borderId="0" xfId="0" applyFont="1" applyFill="1" applyBorder="1" applyAlignment="1">
      <alignment horizontal="left"/>
    </xf>
    <xf numFmtId="10" fontId="176" fillId="0" borderId="0" xfId="0" applyNumberFormat="1" applyFont="1" applyFill="1" applyBorder="1"/>
    <xf numFmtId="10" fontId="176" fillId="0" borderId="0" xfId="1582" applyNumberFormat="1" applyFont="1" applyFill="1" applyBorder="1" applyAlignment="1">
      <alignment horizontal="center"/>
    </xf>
    <xf numFmtId="0" fontId="177" fillId="0" borderId="0" xfId="0" applyFont="1" applyFill="1" applyBorder="1" applyAlignment="1">
      <alignment horizontal="center"/>
    </xf>
    <xf numFmtId="14" fontId="176" fillId="0" borderId="0" xfId="0" applyNumberFormat="1" applyFont="1" applyFill="1" applyBorder="1"/>
    <xf numFmtId="3" fontId="176" fillId="0" borderId="0" xfId="0" applyNumberFormat="1" applyFont="1" applyFill="1" applyBorder="1" applyAlignment="1">
      <alignment horizontal="center"/>
    </xf>
    <xf numFmtId="0" fontId="176" fillId="0" borderId="0" xfId="0" applyFont="1" applyFill="1" applyBorder="1" applyAlignment="1">
      <alignment horizontal="right"/>
    </xf>
    <xf numFmtId="0" fontId="184" fillId="0" borderId="0" xfId="0" applyFont="1" applyFill="1" applyBorder="1"/>
    <xf numFmtId="0" fontId="174" fillId="0" borderId="0" xfId="1633" applyFont="1" applyFill="1" applyBorder="1" applyAlignment="1">
      <alignment horizontal="center"/>
    </xf>
    <xf numFmtId="0" fontId="179" fillId="0" borderId="0" xfId="1561" applyFont="1" applyFill="1" applyBorder="1" applyAlignment="1">
      <alignment horizontal="center"/>
    </xf>
    <xf numFmtId="0" fontId="179" fillId="0" borderId="0" xfId="1561" applyFont="1" applyFill="1" applyBorder="1"/>
    <xf numFmtId="9" fontId="176" fillId="0" borderId="0" xfId="1582" applyFont="1" applyFill="1" applyBorder="1" applyAlignment="1">
      <alignment horizontal="center"/>
    </xf>
    <xf numFmtId="179" fontId="181" fillId="0" borderId="0" xfId="1560" applyNumberFormat="1" applyFont="1" applyFill="1" applyBorder="1"/>
    <xf numFmtId="0" fontId="184" fillId="0" borderId="0" xfId="0" applyFont="1" applyFill="1" applyBorder="1" applyAlignment="1">
      <alignment horizontal="center"/>
    </xf>
    <xf numFmtId="10" fontId="177" fillId="0" borderId="0" xfId="1582" applyNumberFormat="1" applyFont="1" applyFill="1" applyBorder="1" applyAlignment="1">
      <alignment horizontal="center"/>
    </xf>
    <xf numFmtId="0" fontId="180" fillId="0" borderId="0" xfId="0" applyFont="1" applyFill="1" applyBorder="1" applyAlignment="1">
      <alignment horizontal="center" vertical="center" wrapText="1"/>
    </xf>
    <xf numFmtId="179" fontId="176" fillId="0" borderId="0" xfId="0" applyNumberFormat="1" applyFont="1" applyFill="1" applyBorder="1" applyAlignment="1">
      <alignment horizontal="left"/>
    </xf>
    <xf numFmtId="179" fontId="176" fillId="0" borderId="0" xfId="1560" applyNumberFormat="1" applyFont="1" applyFill="1" applyBorder="1" applyAlignment="1">
      <alignment horizontal="center"/>
    </xf>
    <xf numFmtId="0" fontId="180" fillId="0" borderId="0" xfId="1560" applyNumberFormat="1" applyFont="1" applyFill="1" applyBorder="1" applyAlignment="1">
      <alignment horizontal="center"/>
    </xf>
    <xf numFmtId="43" fontId="176" fillId="0" borderId="0" xfId="0" applyNumberFormat="1" applyFont="1" applyFill="1" applyBorder="1" applyAlignment="1">
      <alignment horizontal="center"/>
    </xf>
    <xf numFmtId="0" fontId="184" fillId="0" borderId="0" xfId="0" applyFont="1" applyFill="1" applyBorder="1" applyAlignment="1">
      <alignment horizontal="left" indent="2"/>
    </xf>
    <xf numFmtId="0" fontId="176" fillId="0" borderId="0" xfId="0" applyFont="1" applyFill="1" applyBorder="1" applyAlignment="1">
      <alignment horizontal="left" indent="1"/>
    </xf>
    <xf numFmtId="179" fontId="180" fillId="0" borderId="0" xfId="1560" applyNumberFormat="1" applyFont="1" applyFill="1" applyBorder="1" applyAlignment="1">
      <alignment horizontal="center"/>
    </xf>
    <xf numFmtId="0" fontId="191" fillId="0" borderId="0" xfId="0" applyFont="1" applyFill="1" applyBorder="1" applyAlignment="1">
      <alignment horizontal="center" vertical="center"/>
    </xf>
    <xf numFmtId="0" fontId="187" fillId="0" borderId="0" xfId="0" applyFont="1" applyFill="1" applyBorder="1" applyAlignment="1">
      <alignment horizontal="center" vertical="center" wrapText="1"/>
    </xf>
    <xf numFmtId="0" fontId="187" fillId="0" borderId="0" xfId="0" applyFont="1" applyFill="1" applyBorder="1" applyAlignment="1">
      <alignment horizontal="center" vertical="top" wrapText="1"/>
    </xf>
    <xf numFmtId="0" fontId="184" fillId="0" borderId="0" xfId="0" applyFont="1" applyFill="1" applyBorder="1" applyAlignment="1">
      <alignment horizontal="center" vertical="top" wrapText="1"/>
    </xf>
    <xf numFmtId="179" fontId="184" fillId="0" borderId="0" xfId="1560" applyNumberFormat="1" applyFont="1" applyFill="1" applyBorder="1" applyAlignment="1">
      <alignment horizontal="center" vertical="top" wrapText="1"/>
    </xf>
    <xf numFmtId="179" fontId="184" fillId="0" borderId="0" xfId="1560" applyNumberFormat="1" applyFont="1" applyFill="1" applyBorder="1" applyAlignment="1">
      <alignment horizontal="center"/>
    </xf>
    <xf numFmtId="0" fontId="176" fillId="0" borderId="0" xfId="0" applyFont="1" applyFill="1" applyBorder="1" applyAlignment="1">
      <alignment horizontal="center" vertical="top" wrapText="1"/>
    </xf>
    <xf numFmtId="0" fontId="184" fillId="0" borderId="0" xfId="0" applyFont="1" applyFill="1" applyBorder="1" applyAlignment="1">
      <alignment horizontal="right" vertical="top" wrapText="1"/>
    </xf>
    <xf numFmtId="0" fontId="176" fillId="0" borderId="0" xfId="0" applyFont="1" applyFill="1" applyBorder="1" applyAlignment="1">
      <alignment wrapText="1"/>
    </xf>
    <xf numFmtId="0" fontId="176" fillId="0" borderId="0" xfId="0" applyFont="1" applyFill="1" applyBorder="1" applyAlignment="1">
      <alignment horizontal="left" wrapText="1"/>
    </xf>
    <xf numFmtId="182" fontId="176" fillId="0" borderId="0" xfId="1582" applyNumberFormat="1" applyFont="1" applyFill="1" applyBorder="1" applyAlignment="1">
      <alignment wrapText="1"/>
    </xf>
    <xf numFmtId="182" fontId="180" fillId="0" borderId="0" xfId="1582" applyNumberFormat="1" applyFont="1" applyFill="1" applyBorder="1"/>
    <xf numFmtId="10" fontId="180" fillId="0" borderId="0" xfId="1582" applyNumberFormat="1" applyFont="1" applyFill="1" applyBorder="1"/>
    <xf numFmtId="182" fontId="176" fillId="0" borderId="0" xfId="1582" applyNumberFormat="1" applyFont="1" applyFill="1" applyBorder="1"/>
    <xf numFmtId="9" fontId="176" fillId="0" borderId="0" xfId="1582" applyFont="1" applyFill="1" applyBorder="1"/>
    <xf numFmtId="180" fontId="176" fillId="0" borderId="0" xfId="1582" applyNumberFormat="1" applyFont="1" applyFill="1" applyBorder="1" applyAlignment="1">
      <alignment wrapText="1"/>
    </xf>
    <xf numFmtId="180" fontId="176" fillId="0" borderId="0" xfId="1582" applyNumberFormat="1" applyFont="1" applyFill="1" applyBorder="1"/>
    <xf numFmtId="1" fontId="176" fillId="0" borderId="0" xfId="0" applyNumberFormat="1" applyFont="1" applyFill="1" applyBorder="1"/>
    <xf numFmtId="1" fontId="176" fillId="0" borderId="0" xfId="1560" applyNumberFormat="1" applyFont="1" applyFill="1" applyBorder="1"/>
    <xf numFmtId="43" fontId="180" fillId="0" borderId="0" xfId="1582" applyNumberFormat="1" applyFont="1" applyFill="1" applyBorder="1"/>
    <xf numFmtId="179" fontId="176" fillId="0" borderId="0" xfId="1582" applyNumberFormat="1" applyFont="1" applyFill="1" applyBorder="1"/>
    <xf numFmtId="0" fontId="188" fillId="0" borderId="0" xfId="0" applyFont="1" applyFill="1" applyBorder="1"/>
    <xf numFmtId="14" fontId="176" fillId="0" borderId="0" xfId="0" applyNumberFormat="1" applyFont="1" applyFill="1" applyBorder="1" applyAlignment="1" applyProtection="1">
      <alignment horizontal="center"/>
      <protection locked="0"/>
    </xf>
    <xf numFmtId="14" fontId="176" fillId="0" borderId="0" xfId="0" applyNumberFormat="1" applyFont="1" applyFill="1" applyBorder="1" applyProtection="1">
      <protection locked="0"/>
    </xf>
    <xf numFmtId="0" fontId="180" fillId="0" borderId="0" xfId="0" applyFont="1" applyFill="1" applyBorder="1" applyProtection="1">
      <protection locked="0"/>
    </xf>
    <xf numFmtId="0" fontId="176" fillId="0" borderId="0" xfId="0" applyFont="1" applyFill="1" applyBorder="1" applyProtection="1">
      <protection locked="0"/>
    </xf>
    <xf numFmtId="0" fontId="176" fillId="0" borderId="0" xfId="0" applyFont="1" applyFill="1" applyBorder="1" applyAlignment="1" applyProtection="1">
      <alignment horizontal="center"/>
      <protection locked="0"/>
    </xf>
    <xf numFmtId="0" fontId="176" fillId="0" borderId="0" xfId="1561" applyFont="1" applyFill="1" applyBorder="1" applyProtection="1">
      <protection locked="0"/>
    </xf>
    <xf numFmtId="14" fontId="176" fillId="0" borderId="0" xfId="0" applyNumberFormat="1" applyFont="1" applyFill="1" applyBorder="1" applyAlignment="1" applyProtection="1">
      <alignment horizontal="right"/>
      <protection locked="0"/>
    </xf>
    <xf numFmtId="0" fontId="176" fillId="0" borderId="0" xfId="0" applyFont="1" applyFill="1" applyBorder="1" applyAlignment="1" applyProtection="1">
      <alignment horizontal="right"/>
      <protection locked="0"/>
    </xf>
    <xf numFmtId="0" fontId="180" fillId="0" borderId="0" xfId="0" applyFont="1" applyFill="1" applyBorder="1" applyAlignment="1" applyProtection="1">
      <protection locked="0"/>
    </xf>
    <xf numFmtId="0" fontId="180" fillId="0" borderId="0" xfId="0" applyFont="1" applyFill="1" applyBorder="1" applyAlignment="1" applyProtection="1">
      <alignment horizontal="center"/>
      <protection locked="0"/>
    </xf>
    <xf numFmtId="0" fontId="180" fillId="0" borderId="0" xfId="0" applyFont="1" applyFill="1" applyBorder="1" applyAlignment="1" applyProtection="1">
      <alignment horizontal="center" wrapText="1"/>
      <protection locked="0"/>
    </xf>
    <xf numFmtId="0" fontId="180" fillId="0" borderId="0" xfId="0" applyFont="1" applyFill="1" applyBorder="1" applyAlignment="1" applyProtection="1">
      <alignment horizontal="center"/>
      <protection locked="0"/>
    </xf>
    <xf numFmtId="10" fontId="177" fillId="0" borderId="0" xfId="1582" applyNumberFormat="1" applyFont="1" applyFill="1" applyBorder="1" applyAlignment="1" applyProtection="1">
      <alignment horizontal="center"/>
      <protection locked="0"/>
    </xf>
    <xf numFmtId="0" fontId="176" fillId="0" borderId="0" xfId="0" applyFont="1" applyFill="1" applyBorder="1" applyAlignment="1" applyProtection="1">
      <alignment horizontal="left" indent="2"/>
      <protection locked="0"/>
    </xf>
    <xf numFmtId="179" fontId="176" fillId="0" borderId="0" xfId="0" applyNumberFormat="1" applyFont="1" applyFill="1" applyBorder="1" applyProtection="1">
      <protection locked="0"/>
    </xf>
    <xf numFmtId="179" fontId="176" fillId="0" borderId="0" xfId="0" applyNumberFormat="1" applyFont="1" applyFill="1" applyBorder="1" applyAlignment="1" applyProtection="1">
      <alignment horizontal="center"/>
      <protection locked="0"/>
    </xf>
    <xf numFmtId="179" fontId="180" fillId="0" borderId="0" xfId="0" applyNumberFormat="1" applyFont="1" applyFill="1" applyBorder="1" applyProtection="1">
      <protection locked="0"/>
    </xf>
    <xf numFmtId="10" fontId="176" fillId="0" borderId="0" xfId="1582" applyNumberFormat="1" applyFont="1" applyFill="1" applyBorder="1" applyProtection="1">
      <protection locked="0"/>
    </xf>
    <xf numFmtId="10" fontId="176" fillId="0" borderId="0" xfId="0" applyNumberFormat="1" applyFont="1" applyFill="1" applyBorder="1" applyProtection="1">
      <protection locked="0"/>
    </xf>
    <xf numFmtId="0" fontId="176" fillId="0" borderId="0" xfId="0" applyFont="1" applyFill="1" applyBorder="1" applyAlignment="1" applyProtection="1">
      <alignment horizontal="left" indent="4"/>
      <protection locked="0"/>
    </xf>
    <xf numFmtId="0" fontId="180" fillId="0" borderId="0" xfId="0" applyFont="1" applyFill="1" applyBorder="1" applyAlignment="1" applyProtection="1">
      <alignment horizontal="left"/>
      <protection locked="0"/>
    </xf>
    <xf numFmtId="179" fontId="187" fillId="0" borderId="0" xfId="1560" applyNumberFormat="1" applyFont="1" applyFill="1" applyBorder="1" applyProtection="1">
      <protection locked="0"/>
    </xf>
    <xf numFmtId="179" fontId="187" fillId="0" borderId="0" xfId="0" applyNumberFormat="1" applyFont="1" applyFill="1" applyBorder="1" applyProtection="1">
      <protection locked="0"/>
    </xf>
    <xf numFmtId="0" fontId="184" fillId="0" borderId="0" xfId="0" applyFont="1" applyFill="1" applyBorder="1" applyAlignment="1" applyProtection="1">
      <alignment horizontal="center"/>
      <protection locked="0"/>
    </xf>
    <xf numFmtId="179" fontId="176" fillId="0" borderId="0" xfId="1560" applyNumberFormat="1" applyFont="1" applyFill="1" applyBorder="1" applyAlignment="1" applyProtection="1">
      <alignment horizontal="center"/>
      <protection locked="0"/>
    </xf>
    <xf numFmtId="0" fontId="176" fillId="0" borderId="0" xfId="0" applyFont="1" applyFill="1" applyBorder="1" applyAlignment="1" applyProtection="1">
      <alignment horizontal="center"/>
      <protection locked="0"/>
    </xf>
    <xf numFmtId="0" fontId="181" fillId="0" borderId="0" xfId="0" applyFont="1" applyFill="1" applyBorder="1" applyAlignment="1" applyProtection="1">
      <alignment horizontal="center"/>
      <protection locked="0"/>
    </xf>
    <xf numFmtId="0" fontId="192" fillId="0" borderId="0" xfId="0" applyFont="1" applyFill="1" applyBorder="1" applyAlignment="1" applyProtection="1">
      <alignment horizontal="center"/>
      <protection locked="0"/>
    </xf>
    <xf numFmtId="179" fontId="181" fillId="0" borderId="0" xfId="1560" applyNumberFormat="1" applyFont="1" applyFill="1" applyBorder="1" applyProtection="1">
      <protection locked="0"/>
    </xf>
    <xf numFmtId="0" fontId="181" fillId="0" borderId="0" xfId="0" applyFont="1" applyFill="1" applyBorder="1" applyAlignment="1" applyProtection="1">
      <alignment horizontal="left" indent="2"/>
      <protection locked="0"/>
    </xf>
    <xf numFmtId="9" fontId="181" fillId="0" borderId="0" xfId="1582" applyFont="1" applyFill="1" applyBorder="1" applyProtection="1">
      <protection locked="0"/>
    </xf>
    <xf numFmtId="0" fontId="181" fillId="0" borderId="0" xfId="0" applyFont="1" applyFill="1" applyBorder="1" applyProtection="1">
      <protection locked="0"/>
    </xf>
    <xf numFmtId="179" fontId="192" fillId="0" borderId="0" xfId="1560" applyNumberFormat="1" applyFont="1" applyFill="1" applyBorder="1" applyProtection="1">
      <protection locked="0"/>
    </xf>
    <xf numFmtId="0" fontId="178" fillId="0" borderId="0" xfId="1561" applyFont="1" applyFill="1" applyBorder="1" applyAlignment="1" applyProtection="1">
      <alignment horizontal="left" indent="2"/>
      <protection locked="0"/>
    </xf>
    <xf numFmtId="0" fontId="176" fillId="0" borderId="0" xfId="0" applyFont="1" applyFill="1" applyBorder="1" applyAlignment="1">
      <alignment horizontal="center" wrapText="1"/>
    </xf>
    <xf numFmtId="0" fontId="180" fillId="0" borderId="0" xfId="0" applyFont="1" applyFill="1" applyBorder="1" applyAlignment="1">
      <alignment horizontal="center" wrapText="1"/>
    </xf>
    <xf numFmtId="0" fontId="184" fillId="0" borderId="0" xfId="0" applyFont="1" applyFill="1" applyBorder="1" applyAlignment="1">
      <alignment horizontal="right"/>
    </xf>
    <xf numFmtId="0" fontId="181" fillId="0" borderId="0" xfId="1574" applyFont="1" applyFill="1" applyBorder="1"/>
    <xf numFmtId="0" fontId="181" fillId="0" borderId="0" xfId="1577" applyFont="1" applyFill="1" applyBorder="1"/>
    <xf numFmtId="0" fontId="181" fillId="0" borderId="0" xfId="1578" applyFont="1" applyFill="1" applyBorder="1" applyAlignment="1">
      <alignment horizontal="left" indent="3"/>
    </xf>
    <xf numFmtId="180" fontId="181" fillId="0" borderId="0" xfId="1560" applyNumberFormat="1" applyFont="1" applyFill="1" applyBorder="1" applyAlignment="1">
      <alignment horizontal="left" indent="2"/>
    </xf>
    <xf numFmtId="0" fontId="181" fillId="0" borderId="0" xfId="1563" applyFont="1" applyFill="1" applyBorder="1"/>
    <xf numFmtId="179" fontId="191" fillId="0" borderId="0" xfId="1560" applyNumberFormat="1" applyFont="1" applyFill="1" applyBorder="1" applyAlignment="1">
      <alignment vertical="center"/>
    </xf>
    <xf numFmtId="0" fontId="179" fillId="0" borderId="0" xfId="0" applyFont="1" applyFill="1" applyBorder="1"/>
    <xf numFmtId="0" fontId="181" fillId="0" borderId="0" xfId="1600" applyFont="1" applyFill="1" applyBorder="1"/>
    <xf numFmtId="0" fontId="181" fillId="0" borderId="0" xfId="1600" applyFont="1" applyFill="1" applyBorder="1" applyAlignment="1">
      <alignment horizontal="left" indent="2"/>
    </xf>
    <xf numFmtId="0" fontId="181" fillId="0" borderId="0" xfId="1603" applyFont="1" applyFill="1" applyBorder="1" applyAlignment="1">
      <alignment horizontal="left" indent="2"/>
    </xf>
    <xf numFmtId="179" fontId="180" fillId="0" borderId="0" xfId="0" applyNumberFormat="1" applyFont="1" applyFill="1" applyBorder="1" applyAlignment="1">
      <alignment horizontal="right"/>
    </xf>
    <xf numFmtId="0" fontId="181" fillId="0" borderId="0" xfId="1599" applyFont="1" applyFill="1" applyBorder="1" applyAlignment="1">
      <alignment horizontal="left" indent="2"/>
    </xf>
    <xf numFmtId="0" fontId="181" fillId="0" borderId="0" xfId="1599" applyFont="1" applyFill="1" applyBorder="1"/>
    <xf numFmtId="179" fontId="180" fillId="0" borderId="0" xfId="1560" applyNumberFormat="1" applyFont="1" applyFill="1" applyBorder="1" applyAlignment="1">
      <alignment horizontal="right"/>
    </xf>
    <xf numFmtId="0" fontId="181" fillId="0" borderId="0" xfId="611" applyFont="1" applyFill="1" applyBorder="1" applyAlignment="1">
      <alignment horizontal="left" indent="2"/>
    </xf>
    <xf numFmtId="0" fontId="181" fillId="0" borderId="0" xfId="1604" applyFont="1" applyFill="1" applyBorder="1"/>
    <xf numFmtId="0" fontId="181" fillId="0" borderId="0" xfId="1605" applyFont="1" applyFill="1" applyBorder="1"/>
    <xf numFmtId="0" fontId="181" fillId="0" borderId="0" xfId="1605" applyFont="1" applyFill="1" applyBorder="1" applyAlignment="1">
      <alignment horizontal="left"/>
    </xf>
    <xf numFmtId="0" fontId="181" fillId="0" borderId="0" xfId="1606" applyFont="1" applyFill="1" applyBorder="1" applyAlignment="1">
      <alignment horizontal="left" indent="2"/>
    </xf>
    <xf numFmtId="0" fontId="181" fillId="0" borderId="0" xfId="1608" applyFont="1" applyFill="1" applyBorder="1"/>
    <xf numFmtId="181" fontId="176" fillId="0" borderId="0" xfId="1560" applyNumberFormat="1" applyFont="1" applyFill="1" applyBorder="1"/>
    <xf numFmtId="0" fontId="181" fillId="0" borderId="0" xfId="1609" applyFont="1" applyFill="1" applyBorder="1" applyAlignment="1">
      <alignment horizontal="left" indent="2"/>
    </xf>
    <xf numFmtId="0" fontId="191" fillId="0" borderId="0" xfId="0" applyFont="1" applyFill="1" applyBorder="1" applyAlignment="1">
      <alignment horizontal="center"/>
    </xf>
    <xf numFmtId="179" fontId="189" fillId="0" borderId="0" xfId="0" applyNumberFormat="1" applyFont="1" applyFill="1" applyBorder="1"/>
    <xf numFmtId="0" fontId="176" fillId="0" borderId="0" xfId="0" applyFont="1" applyFill="1" applyBorder="1" applyAlignment="1">
      <alignment horizontal="left" wrapText="1"/>
    </xf>
    <xf numFmtId="1" fontId="180" fillId="0" borderId="0" xfId="1560" applyNumberFormat="1" applyFont="1" applyFill="1" applyBorder="1"/>
    <xf numFmtId="0" fontId="175" fillId="0" borderId="0" xfId="1279" applyFont="1" applyFill="1" applyBorder="1" applyAlignment="1">
      <alignment horizontal="center"/>
    </xf>
    <xf numFmtId="0" fontId="181" fillId="0" borderId="0" xfId="1562" applyFont="1" applyFill="1" applyBorder="1"/>
    <xf numFmtId="16" fontId="176" fillId="0" borderId="0" xfId="0" applyNumberFormat="1" applyFont="1" applyFill="1" applyBorder="1"/>
    <xf numFmtId="0" fontId="181" fillId="0" borderId="0" xfId="1575" applyFont="1" applyFill="1" applyBorder="1"/>
    <xf numFmtId="0" fontId="181" fillId="0" borderId="0" xfId="1576" applyFont="1" applyFill="1" applyBorder="1"/>
    <xf numFmtId="0" fontId="181" fillId="0" borderId="0" xfId="1579" applyFont="1" applyFill="1" applyBorder="1"/>
    <xf numFmtId="0" fontId="181" fillId="0" borderId="0" xfId="1580" applyFont="1" applyFill="1" applyBorder="1"/>
    <xf numFmtId="0" fontId="181" fillId="0" borderId="0" xfId="1581" applyFont="1" applyFill="1" applyBorder="1"/>
    <xf numFmtId="184" fontId="176" fillId="0" borderId="0" xfId="1560" applyNumberFormat="1" applyFont="1" applyFill="1" applyBorder="1"/>
    <xf numFmtId="185" fontId="176" fillId="0" borderId="0" xfId="1560" applyNumberFormat="1" applyFont="1" applyFill="1" applyBorder="1"/>
    <xf numFmtId="0" fontId="177" fillId="0" borderId="0" xfId="1581" applyFont="1" applyFill="1" applyBorder="1"/>
    <xf numFmtId="0" fontId="178" fillId="0" borderId="0" xfId="1583" applyFont="1" applyFill="1" applyBorder="1"/>
    <xf numFmtId="0" fontId="178" fillId="0" borderId="0" xfId="1601" applyFont="1" applyFill="1" applyBorder="1"/>
    <xf numFmtId="0" fontId="178" fillId="0" borderId="0" xfId="1607" applyFont="1" applyFill="1" applyBorder="1"/>
    <xf numFmtId="0" fontId="181" fillId="0" borderId="0" xfId="1610" applyFont="1" applyFill="1" applyBorder="1"/>
    <xf numFmtId="0" fontId="181" fillId="0" borderId="0" xfId="1611" applyFont="1" applyFill="1" applyBorder="1"/>
    <xf numFmtId="0" fontId="181" fillId="0" borderId="0" xfId="1612" applyFont="1" applyFill="1" applyBorder="1"/>
    <xf numFmtId="0" fontId="189" fillId="0" borderId="0" xfId="0" applyFont="1" applyFill="1" applyBorder="1"/>
    <xf numFmtId="10" fontId="189" fillId="0" borderId="0" xfId="1582" applyNumberFormat="1" applyFont="1" applyFill="1" applyBorder="1"/>
    <xf numFmtId="0" fontId="180" fillId="0" borderId="0" xfId="0" applyFont="1" applyFill="1" applyBorder="1" applyAlignment="1">
      <alignment horizontal="left" wrapText="1"/>
    </xf>
    <xf numFmtId="37" fontId="176" fillId="0" borderId="0" xfId="1561" applyNumberFormat="1" applyFont="1" applyFill="1" applyBorder="1" applyAlignment="1">
      <alignment vertical="center"/>
    </xf>
    <xf numFmtId="0" fontId="176" fillId="0" borderId="0" xfId="1561" applyFont="1" applyFill="1" applyBorder="1" applyAlignment="1"/>
    <xf numFmtId="0" fontId="180" fillId="0" borderId="0" xfId="0" applyFont="1" applyFill="1" applyBorder="1" applyAlignment="1">
      <alignment horizontal="right"/>
    </xf>
    <xf numFmtId="0" fontId="179" fillId="0" borderId="0" xfId="0" applyFont="1" applyFill="1" applyBorder="1" applyAlignment="1">
      <alignment horizontal="left" indent="1"/>
    </xf>
    <xf numFmtId="0" fontId="180" fillId="0" borderId="0" xfId="0" applyFont="1" applyFill="1" applyBorder="1" applyAlignment="1">
      <alignment horizontal="left" indent="5"/>
    </xf>
    <xf numFmtId="0" fontId="177" fillId="0" borderId="0" xfId="1615" applyFont="1" applyFill="1" applyBorder="1"/>
    <xf numFmtId="0" fontId="181" fillId="0" borderId="0" xfId="1617" applyFont="1" applyFill="1" applyBorder="1" applyAlignment="1">
      <alignment horizontal="left" indent="2"/>
    </xf>
    <xf numFmtId="0" fontId="181" fillId="0" borderId="0" xfId="1617" applyFont="1" applyFill="1" applyBorder="1" applyAlignment="1">
      <alignment horizontal="left" indent="5"/>
    </xf>
    <xf numFmtId="0" fontId="176" fillId="0" borderId="0" xfId="0" applyFont="1" applyFill="1" applyBorder="1" applyAlignment="1">
      <alignment horizontal="left" indent="5"/>
    </xf>
    <xf numFmtId="0" fontId="181" fillId="0" borderId="0" xfId="1621" applyFont="1" applyFill="1" applyBorder="1" applyAlignment="1">
      <alignment horizontal="left" indent="2"/>
    </xf>
    <xf numFmtId="0" fontId="181" fillId="0" borderId="0" xfId="1621" applyFont="1" applyFill="1" applyBorder="1" applyAlignment="1">
      <alignment horizontal="left" indent="5"/>
    </xf>
    <xf numFmtId="0" fontId="181" fillId="0" borderId="0" xfId="1623" applyFont="1" applyFill="1" applyBorder="1" applyAlignment="1">
      <alignment horizontal="left" indent="2"/>
    </xf>
    <xf numFmtId="0" fontId="177" fillId="0" borderId="0" xfId="1623" applyFont="1" applyFill="1" applyBorder="1" applyAlignment="1">
      <alignment horizontal="left" indent="5"/>
    </xf>
    <xf numFmtId="0" fontId="181" fillId="0" borderId="0" xfId="1625" applyFont="1" applyFill="1" applyBorder="1" applyAlignment="1">
      <alignment horizontal="left" indent="2"/>
    </xf>
    <xf numFmtId="0" fontId="177" fillId="0" borderId="0" xfId="1628" applyFont="1" applyFill="1" applyBorder="1" applyAlignment="1">
      <alignment horizontal="left" indent="5"/>
    </xf>
    <xf numFmtId="0" fontId="180" fillId="0" borderId="0" xfId="0" applyFont="1" applyFill="1" applyBorder="1" applyAlignment="1">
      <alignment horizontal="left" indent="1"/>
    </xf>
    <xf numFmtId="0" fontId="185" fillId="0" borderId="0" xfId="0" applyFont="1" applyFill="1" applyBorder="1" applyAlignment="1">
      <alignment horizontal="center"/>
    </xf>
    <xf numFmtId="0" fontId="180" fillId="0" borderId="0" xfId="0" applyFont="1" applyFill="1" applyBorder="1" applyAlignment="1">
      <alignment horizontal="left" indent="4"/>
    </xf>
    <xf numFmtId="0" fontId="187" fillId="0" borderId="0" xfId="0" applyFont="1" applyFill="1" applyBorder="1" applyAlignment="1">
      <alignment horizontal="center"/>
    </xf>
    <xf numFmtId="0" fontId="184" fillId="0" borderId="0" xfId="0" applyFont="1" applyFill="1" applyBorder="1" applyAlignment="1">
      <alignment horizontal="center"/>
    </xf>
    <xf numFmtId="0" fontId="176" fillId="0" borderId="0" xfId="0" applyFont="1" applyFill="1" applyBorder="1" applyAlignment="1">
      <alignment horizontal="center" vertical="center" wrapText="1"/>
    </xf>
    <xf numFmtId="0" fontId="184" fillId="0" borderId="0" xfId="0" applyFont="1" applyFill="1" applyBorder="1" applyAlignment="1">
      <alignment horizontal="right"/>
    </xf>
    <xf numFmtId="14" fontId="176" fillId="0" borderId="0" xfId="0" applyNumberFormat="1" applyFont="1" applyFill="1" applyBorder="1" applyAlignment="1">
      <alignment vertical="center"/>
    </xf>
    <xf numFmtId="179" fontId="176" fillId="0" borderId="0" xfId="1560" applyNumberFormat="1" applyFont="1" applyFill="1" applyBorder="1" applyAlignment="1">
      <alignment horizontal="right"/>
    </xf>
    <xf numFmtId="10" fontId="177" fillId="0" borderId="0" xfId="1582" applyNumberFormat="1" applyFont="1" applyFill="1" applyBorder="1" applyAlignment="1">
      <alignment horizontal="left"/>
    </xf>
    <xf numFmtId="179" fontId="176" fillId="0" borderId="0" xfId="1561" applyNumberFormat="1" applyFont="1" applyFill="1" applyBorder="1"/>
    <xf numFmtId="0" fontId="190" fillId="0" borderId="0" xfId="0" applyFont="1" applyFill="1" applyBorder="1" applyAlignment="1">
      <alignment horizontal="center" vertical="center" wrapText="1"/>
    </xf>
    <xf numFmtId="180" fontId="180" fillId="0" borderId="0" xfId="1582" applyNumberFormat="1" applyFont="1" applyFill="1" applyBorder="1"/>
    <xf numFmtId="180" fontId="180" fillId="0" borderId="0" xfId="1560" applyNumberFormat="1" applyFont="1" applyFill="1" applyBorder="1"/>
    <xf numFmtId="9" fontId="180" fillId="0" borderId="0" xfId="1582" applyFont="1" applyFill="1" applyBorder="1"/>
    <xf numFmtId="0" fontId="174" fillId="0" borderId="0" xfId="1279" applyFont="1" applyFill="1" applyBorder="1" applyAlignment="1" applyProtection="1">
      <alignment horizontal="center"/>
      <protection locked="0"/>
    </xf>
    <xf numFmtId="0" fontId="177" fillId="0" borderId="0" xfId="0" applyFont="1" applyFill="1" applyBorder="1" applyAlignment="1" applyProtection="1">
      <alignment horizontal="right"/>
      <protection locked="0"/>
    </xf>
    <xf numFmtId="0" fontId="180" fillId="0" borderId="0" xfId="0" applyFont="1" applyFill="1" applyBorder="1" applyAlignment="1" applyProtection="1">
      <alignment horizontal="right"/>
      <protection locked="0"/>
    </xf>
    <xf numFmtId="10" fontId="176" fillId="0" borderId="0" xfId="0" applyNumberFormat="1" applyFont="1" applyFill="1" applyBorder="1" applyAlignment="1" applyProtection="1">
      <alignment horizontal="center"/>
      <protection locked="0"/>
    </xf>
    <xf numFmtId="1" fontId="184" fillId="0" borderId="0" xfId="0" applyNumberFormat="1" applyFont="1" applyFill="1" applyBorder="1" applyProtection="1">
      <protection locked="0"/>
    </xf>
    <xf numFmtId="43" fontId="176" fillId="0" borderId="0" xfId="0" applyNumberFormat="1" applyFont="1" applyFill="1" applyBorder="1" applyProtection="1">
      <protection locked="0"/>
    </xf>
    <xf numFmtId="0" fontId="193" fillId="0" borderId="0" xfId="0" applyFont="1" applyFill="1" applyBorder="1" applyProtection="1">
      <protection locked="0"/>
    </xf>
    <xf numFmtId="179" fontId="176" fillId="0" borderId="0" xfId="1560" applyNumberFormat="1" applyFont="1" applyFill="1" applyBorder="1" applyAlignment="1" applyProtection="1">
      <protection locked="0"/>
    </xf>
    <xf numFmtId="0" fontId="191" fillId="0" borderId="0" xfId="0" applyFont="1" applyFill="1" applyBorder="1" applyAlignment="1" applyProtection="1">
      <alignment vertical="top" wrapText="1"/>
      <protection locked="0"/>
    </xf>
    <xf numFmtId="0" fontId="189" fillId="0" borderId="0" xfId="0" applyFont="1" applyFill="1" applyBorder="1" applyAlignment="1">
      <alignment vertical="top" wrapText="1"/>
    </xf>
    <xf numFmtId="0" fontId="184" fillId="0" borderId="0" xfId="0" applyFont="1" applyFill="1" applyBorder="1" applyAlignment="1">
      <alignment vertical="top" wrapText="1"/>
    </xf>
  </cellXfs>
  <cellStyles count="2437">
    <cellStyle name="_%(SignOnly)" xfId="2"/>
    <cellStyle name="_%(SignSpaceOnly)" xfId="3"/>
    <cellStyle name="_Chelan Debt Forecast 12.19.05" xfId="4"/>
    <cellStyle name="_Chelan Debt Forecast 12.19.05 2" xfId="1655"/>
    <cellStyle name="_Comma" xfId="5"/>
    <cellStyle name="_Costs not in AURORA 06GRC" xfId="6"/>
    <cellStyle name="_Costs not in AURORA 06GRC 2" xfId="1656"/>
    <cellStyle name="_Costs not in KWI3000 '06Budget" xfId="7"/>
    <cellStyle name="_Costs not in KWI3000 '06Budget 2" xfId="1657"/>
    <cellStyle name="_Currency" xfId="8"/>
    <cellStyle name="_CurrencySpace" xfId="9"/>
    <cellStyle name="_Euro" xfId="10"/>
    <cellStyle name="_Fuel Prices 4-14" xfId="11"/>
    <cellStyle name="_Fuel Prices 4-14 2" xfId="1658"/>
    <cellStyle name="_Heading" xfId="12"/>
    <cellStyle name="_Highlight" xfId="13"/>
    <cellStyle name="_Multiple" xfId="14"/>
    <cellStyle name="_MultipleSpace" xfId="15"/>
    <cellStyle name="_Power Cost Value Copy 11.30.05 gas 1.09.06 AURORA at 1.10.06" xfId="16"/>
    <cellStyle name="_Power Cost Value Copy 11.30.05 gas 1.09.06 AURORA at 1.10.06 2" xfId="1659"/>
    <cellStyle name="_Recon to Darrin's 5.11.05 proforma" xfId="17"/>
    <cellStyle name="_Recon to Darrin's 5.11.05 proforma 2" xfId="1660"/>
    <cellStyle name="_SubHeading" xfId="18"/>
    <cellStyle name="_Table" xfId="19"/>
    <cellStyle name="_Table_QC" xfId="20"/>
    <cellStyle name="_TableHead" xfId="21"/>
    <cellStyle name="_TableHead_QC" xfId="22"/>
    <cellStyle name="_TableRowHead" xfId="23"/>
    <cellStyle name="_TableSuperHead" xfId="24"/>
    <cellStyle name="_Value Copy 11 30 05 gas 12 09 05 AURORA at 12 14 05" xfId="25"/>
    <cellStyle name="_Value Copy 11 30 05 gas 12 09 05 AURORA at 12 14 05 2" xfId="1661"/>
    <cellStyle name="20% - Accent1 2" xfId="26"/>
    <cellStyle name="20% - Accent1 2 2" xfId="27"/>
    <cellStyle name="20% - Accent1 2 2 2" xfId="28"/>
    <cellStyle name="20% - Accent1 2 2 3" xfId="29"/>
    <cellStyle name="20% - Accent1 2 2 4" xfId="30"/>
    <cellStyle name="20% - Accent1 2 3" xfId="31"/>
    <cellStyle name="20% - Accent1 2 4" xfId="32"/>
    <cellStyle name="20% - Accent1 2 5" xfId="33"/>
    <cellStyle name="20% - Accent1 2 6" xfId="34"/>
    <cellStyle name="20% - Accent1 2_QC Sheet" xfId="35"/>
    <cellStyle name="20% - Accent1 3" xfId="36"/>
    <cellStyle name="20% - Accent1 4" xfId="1280"/>
    <cellStyle name="20% - Accent2 2" xfId="37"/>
    <cellStyle name="20% - Accent2 2 2" xfId="38"/>
    <cellStyle name="20% - Accent2 2 2 2" xfId="39"/>
    <cellStyle name="20% - Accent2 2 2 3" xfId="40"/>
    <cellStyle name="20% - Accent2 2 2 4" xfId="41"/>
    <cellStyle name="20% - Accent2 2 3" xfId="42"/>
    <cellStyle name="20% - Accent2 2 4" xfId="43"/>
    <cellStyle name="20% - Accent2 2 5" xfId="44"/>
    <cellStyle name="20% - Accent2 2 6" xfId="45"/>
    <cellStyle name="20% - Accent2 2_QC Sheet" xfId="46"/>
    <cellStyle name="20% - Accent2 3" xfId="47"/>
    <cellStyle name="20% - Accent2 4" xfId="1281"/>
    <cellStyle name="20% - Accent3 2" xfId="48"/>
    <cellStyle name="20% - Accent3 2 2" xfId="49"/>
    <cellStyle name="20% - Accent3 2 2 2" xfId="50"/>
    <cellStyle name="20% - Accent3 2 2 3" xfId="51"/>
    <cellStyle name="20% - Accent3 2 2 4" xfId="52"/>
    <cellStyle name="20% - Accent3 2 3" xfId="53"/>
    <cellStyle name="20% - Accent3 2 4" xfId="54"/>
    <cellStyle name="20% - Accent3 2 5" xfId="55"/>
    <cellStyle name="20% - Accent3 2 6" xfId="56"/>
    <cellStyle name="20% - Accent3 2_QC Sheet" xfId="57"/>
    <cellStyle name="20% - Accent3 3" xfId="58"/>
    <cellStyle name="20% - Accent3 4" xfId="1282"/>
    <cellStyle name="20% - Accent4 2" xfId="59"/>
    <cellStyle name="20% - Accent4 2 2" xfId="60"/>
    <cellStyle name="20% - Accent4 2 2 2" xfId="61"/>
    <cellStyle name="20% - Accent4 2 2 3" xfId="62"/>
    <cellStyle name="20% - Accent4 2 2 4" xfId="63"/>
    <cellStyle name="20% - Accent4 2 3" xfId="64"/>
    <cellStyle name="20% - Accent4 2 4" xfId="65"/>
    <cellStyle name="20% - Accent4 2 5" xfId="66"/>
    <cellStyle name="20% - Accent4 2 6" xfId="67"/>
    <cellStyle name="20% - Accent4 2_QC Sheet" xfId="68"/>
    <cellStyle name="20% - Accent4 3" xfId="69"/>
    <cellStyle name="20% - Accent4 4" xfId="1283"/>
    <cellStyle name="20% - Accent5 2" xfId="70"/>
    <cellStyle name="20% - Accent5 2 2" xfId="71"/>
    <cellStyle name="20% - Accent5 2 2 2" xfId="72"/>
    <cellStyle name="20% - Accent5 2 2 3" xfId="73"/>
    <cellStyle name="20% - Accent5 2 2 4" xfId="74"/>
    <cellStyle name="20% - Accent5 2 3" xfId="75"/>
    <cellStyle name="20% - Accent5 2 4" xfId="76"/>
    <cellStyle name="20% - Accent5 2 5" xfId="77"/>
    <cellStyle name="20% - Accent5 2 6" xfId="78"/>
    <cellStyle name="20% - Accent5 2_QC Sheet" xfId="79"/>
    <cellStyle name="20% - Accent5 3" xfId="80"/>
    <cellStyle name="20% - Accent5 4" xfId="1284"/>
    <cellStyle name="20% - Accent6 2" xfId="81"/>
    <cellStyle name="20% - Accent6 2 2" xfId="82"/>
    <cellStyle name="20% - Accent6 2 2 2" xfId="83"/>
    <cellStyle name="20% - Accent6 2 2 3" xfId="84"/>
    <cellStyle name="20% - Accent6 2 2 4" xfId="85"/>
    <cellStyle name="20% - Accent6 2 3" xfId="86"/>
    <cellStyle name="20% - Accent6 2 4" xfId="87"/>
    <cellStyle name="20% - Accent6 2 5" xfId="88"/>
    <cellStyle name="20% - Accent6 2 6" xfId="89"/>
    <cellStyle name="20% - Accent6 2_QC Sheet" xfId="90"/>
    <cellStyle name="20% - Accent6 3" xfId="91"/>
    <cellStyle name="20% - Accent6 4" xfId="1285"/>
    <cellStyle name="40% - Accent1 2" xfId="92"/>
    <cellStyle name="40% - Accent1 2 2" xfId="93"/>
    <cellStyle name="40% - Accent1 2 2 2" xfId="94"/>
    <cellStyle name="40% - Accent1 2 2 3" xfId="95"/>
    <cellStyle name="40% - Accent1 2 2 4" xfId="96"/>
    <cellStyle name="40% - Accent1 2 3" xfId="97"/>
    <cellStyle name="40% - Accent1 2 4" xfId="98"/>
    <cellStyle name="40% - Accent1 2 5" xfId="99"/>
    <cellStyle name="40% - Accent1 2 6" xfId="100"/>
    <cellStyle name="40% - Accent1 2_QC Sheet" xfId="101"/>
    <cellStyle name="40% - Accent1 3" xfId="102"/>
    <cellStyle name="40% - Accent1 4" xfId="1286"/>
    <cellStyle name="40% - Accent2 2" xfId="103"/>
    <cellStyle name="40% - Accent2 2 2" xfId="104"/>
    <cellStyle name="40% - Accent2 2 2 2" xfId="105"/>
    <cellStyle name="40% - Accent2 2 2 3" xfId="106"/>
    <cellStyle name="40% - Accent2 2 2 4" xfId="107"/>
    <cellStyle name="40% - Accent2 2 3" xfId="108"/>
    <cellStyle name="40% - Accent2 2 4" xfId="109"/>
    <cellStyle name="40% - Accent2 2 5" xfId="110"/>
    <cellStyle name="40% - Accent2 2 6" xfId="111"/>
    <cellStyle name="40% - Accent2 2_QC Sheet" xfId="112"/>
    <cellStyle name="40% - Accent2 3" xfId="113"/>
    <cellStyle name="40% - Accent2 4" xfId="1287"/>
    <cellStyle name="40% - Accent3 2" xfId="114"/>
    <cellStyle name="40% - Accent3 2 2" xfId="115"/>
    <cellStyle name="40% - Accent3 2 2 2" xfId="116"/>
    <cellStyle name="40% - Accent3 2 2 3" xfId="117"/>
    <cellStyle name="40% - Accent3 2 2 4" xfId="118"/>
    <cellStyle name="40% - Accent3 2 3" xfId="119"/>
    <cellStyle name="40% - Accent3 2 4" xfId="120"/>
    <cellStyle name="40% - Accent3 2 5" xfId="121"/>
    <cellStyle name="40% - Accent3 2 6" xfId="122"/>
    <cellStyle name="40% - Accent3 2_QC Sheet" xfId="123"/>
    <cellStyle name="40% - Accent3 3" xfId="124"/>
    <cellStyle name="40% - Accent3 4" xfId="1288"/>
    <cellStyle name="40% - Accent4 2" xfId="125"/>
    <cellStyle name="40% - Accent4 2 2" xfId="126"/>
    <cellStyle name="40% - Accent4 2 2 2" xfId="127"/>
    <cellStyle name="40% - Accent4 2 2 3" xfId="128"/>
    <cellStyle name="40% - Accent4 2 2 4" xfId="129"/>
    <cellStyle name="40% - Accent4 2 3" xfId="130"/>
    <cellStyle name="40% - Accent4 2 4" xfId="131"/>
    <cellStyle name="40% - Accent4 2 5" xfId="132"/>
    <cellStyle name="40% - Accent4 2 6" xfId="133"/>
    <cellStyle name="40% - Accent4 2_QC Sheet" xfId="134"/>
    <cellStyle name="40% - Accent4 3" xfId="135"/>
    <cellStyle name="40% - Accent4 4" xfId="1289"/>
    <cellStyle name="40% - Accent5 2" xfId="136"/>
    <cellStyle name="40% - Accent5 2 2" xfId="137"/>
    <cellStyle name="40% - Accent5 2 2 2" xfId="138"/>
    <cellStyle name="40% - Accent5 2 2 3" xfId="139"/>
    <cellStyle name="40% - Accent5 2 2 4" xfId="140"/>
    <cellStyle name="40% - Accent5 2 3" xfId="141"/>
    <cellStyle name="40% - Accent5 2 4" xfId="142"/>
    <cellStyle name="40% - Accent5 2 5" xfId="143"/>
    <cellStyle name="40% - Accent5 2 6" xfId="144"/>
    <cellStyle name="40% - Accent5 2_QC Sheet" xfId="145"/>
    <cellStyle name="40% - Accent5 3" xfId="146"/>
    <cellStyle name="40% - Accent5 4" xfId="1290"/>
    <cellStyle name="40% - Accent6 2" xfId="147"/>
    <cellStyle name="40% - Accent6 2 2" xfId="148"/>
    <cellStyle name="40% - Accent6 2 2 2" xfId="149"/>
    <cellStyle name="40% - Accent6 2 2 3" xfId="150"/>
    <cellStyle name="40% - Accent6 2 2 4" xfId="151"/>
    <cellStyle name="40% - Accent6 2 3" xfId="152"/>
    <cellStyle name="40% - Accent6 2 4" xfId="153"/>
    <cellStyle name="40% - Accent6 2 5" xfId="154"/>
    <cellStyle name="40% - Accent6 2 6" xfId="155"/>
    <cellStyle name="40% - Accent6 2_QC Sheet" xfId="156"/>
    <cellStyle name="40% - Accent6 3" xfId="157"/>
    <cellStyle name="40% - Accent6 4" xfId="1291"/>
    <cellStyle name="60% - Accent1 2" xfId="158"/>
    <cellStyle name="60% - Accent1 2 2" xfId="159"/>
    <cellStyle name="60% - Accent1 2 2 2" xfId="160"/>
    <cellStyle name="60% - Accent1 2 2 3" xfId="161"/>
    <cellStyle name="60% - Accent1 2 2 4" xfId="162"/>
    <cellStyle name="60% - Accent1 2 3" xfId="163"/>
    <cellStyle name="60% - Accent1 2 4" xfId="164"/>
    <cellStyle name="60% - Accent1 2 5" xfId="165"/>
    <cellStyle name="60% - Accent1 2_QC Sheet" xfId="166"/>
    <cellStyle name="60% - Accent1 3" xfId="167"/>
    <cellStyle name="60% - Accent1 4" xfId="1292"/>
    <cellStyle name="60% - Accent2 2" xfId="168"/>
    <cellStyle name="60% - Accent2 2 2" xfId="169"/>
    <cellStyle name="60% - Accent2 2 2 2" xfId="170"/>
    <cellStyle name="60% - Accent2 2 2 3" xfId="171"/>
    <cellStyle name="60% - Accent2 2 2 4" xfId="172"/>
    <cellStyle name="60% - Accent2 2 3" xfId="173"/>
    <cellStyle name="60% - Accent2 2 4" xfId="174"/>
    <cellStyle name="60% - Accent2 2 5" xfId="175"/>
    <cellStyle name="60% - Accent2 2_QC Sheet" xfId="176"/>
    <cellStyle name="60% - Accent2 3" xfId="177"/>
    <cellStyle name="60% - Accent2 4" xfId="1293"/>
    <cellStyle name="60% - Accent3 2" xfId="178"/>
    <cellStyle name="60% - Accent3 2 2" xfId="179"/>
    <cellStyle name="60% - Accent3 2 2 2" xfId="180"/>
    <cellStyle name="60% - Accent3 2 2 3" xfId="181"/>
    <cellStyle name="60% - Accent3 2 2 4" xfId="182"/>
    <cellStyle name="60% - Accent3 2 3" xfId="183"/>
    <cellStyle name="60% - Accent3 2 4" xfId="184"/>
    <cellStyle name="60% - Accent3 2 5" xfId="185"/>
    <cellStyle name="60% - Accent3 2_QC Sheet" xfId="186"/>
    <cellStyle name="60% - Accent3 3" xfId="187"/>
    <cellStyle name="60% - Accent3 4" xfId="1294"/>
    <cellStyle name="60% - Accent4 2" xfId="188"/>
    <cellStyle name="60% - Accent4 2 2" xfId="189"/>
    <cellStyle name="60% - Accent4 2 2 2" xfId="190"/>
    <cellStyle name="60% - Accent4 2 2 3" xfId="191"/>
    <cellStyle name="60% - Accent4 2 2 4" xfId="192"/>
    <cellStyle name="60% - Accent4 2 3" xfId="193"/>
    <cellStyle name="60% - Accent4 2 4" xfId="194"/>
    <cellStyle name="60% - Accent4 2 5" xfId="195"/>
    <cellStyle name="60% - Accent4 2_QC Sheet" xfId="196"/>
    <cellStyle name="60% - Accent4 3" xfId="197"/>
    <cellStyle name="60% - Accent4 4" xfId="1295"/>
    <cellStyle name="60% - Accent5 2" xfId="198"/>
    <cellStyle name="60% - Accent5 2 2" xfId="199"/>
    <cellStyle name="60% - Accent5 2 2 2" xfId="200"/>
    <cellStyle name="60% - Accent5 2 2 3" xfId="201"/>
    <cellStyle name="60% - Accent5 2 2 4" xfId="202"/>
    <cellStyle name="60% - Accent5 2 3" xfId="203"/>
    <cellStyle name="60% - Accent5 2 4" xfId="204"/>
    <cellStyle name="60% - Accent5 2 5" xfId="205"/>
    <cellStyle name="60% - Accent5 2_QC Sheet" xfId="206"/>
    <cellStyle name="60% - Accent5 3" xfId="207"/>
    <cellStyle name="60% - Accent5 4" xfId="1296"/>
    <cellStyle name="60% - Accent6 2" xfId="208"/>
    <cellStyle name="60% - Accent6 2 2" xfId="209"/>
    <cellStyle name="60% - Accent6 2 2 2" xfId="210"/>
    <cellStyle name="60% - Accent6 2 2 3" xfId="211"/>
    <cellStyle name="60% - Accent6 2 2 4" xfId="212"/>
    <cellStyle name="60% - Accent6 2 3" xfId="213"/>
    <cellStyle name="60% - Accent6 2 4" xfId="214"/>
    <cellStyle name="60% - Accent6 2 5" xfId="215"/>
    <cellStyle name="60% - Accent6 2_QC Sheet" xfId="216"/>
    <cellStyle name="60% - Accent6 3" xfId="217"/>
    <cellStyle name="60% - Accent6 4" xfId="1297"/>
    <cellStyle name="Accent1 2" xfId="218"/>
    <cellStyle name="Accent1 2 2" xfId="219"/>
    <cellStyle name="Accent1 2 2 2" xfId="220"/>
    <cellStyle name="Accent1 2 2 3" xfId="221"/>
    <cellStyle name="Accent1 2 2 4" xfId="222"/>
    <cellStyle name="Accent1 2 3" xfId="223"/>
    <cellStyle name="Accent1 2 4" xfId="224"/>
    <cellStyle name="Accent1 2 5" xfId="225"/>
    <cellStyle name="Accent1 2_QC Sheet" xfId="226"/>
    <cellStyle name="Accent1 3" xfId="227"/>
    <cellStyle name="Accent1 4" xfId="1298"/>
    <cellStyle name="Accent2 2" xfId="228"/>
    <cellStyle name="Accent2 2 2" xfId="229"/>
    <cellStyle name="Accent2 2 2 2" xfId="230"/>
    <cellStyle name="Accent2 2 2 3" xfId="231"/>
    <cellStyle name="Accent2 2 2 4" xfId="232"/>
    <cellStyle name="Accent2 2 3" xfId="233"/>
    <cellStyle name="Accent2 2 4" xfId="234"/>
    <cellStyle name="Accent2 2 5" xfId="235"/>
    <cellStyle name="Accent2 2_QC Sheet" xfId="236"/>
    <cellStyle name="Accent2 3" xfId="237"/>
    <cellStyle name="Accent2 4" xfId="1299"/>
    <cellStyle name="Accent3 2" xfId="238"/>
    <cellStyle name="Accent3 2 2" xfId="239"/>
    <cellStyle name="Accent3 2 2 2" xfId="240"/>
    <cellStyle name="Accent3 2 2 3" xfId="241"/>
    <cellStyle name="Accent3 2 2 4" xfId="242"/>
    <cellStyle name="Accent3 2 3" xfId="243"/>
    <cellStyle name="Accent3 2 4" xfId="244"/>
    <cellStyle name="Accent3 2 5" xfId="245"/>
    <cellStyle name="Accent3 2_QC Sheet" xfId="246"/>
    <cellStyle name="Accent3 3" xfId="247"/>
    <cellStyle name="Accent3 4" xfId="1300"/>
    <cellStyle name="Accent4 2" xfId="248"/>
    <cellStyle name="Accent4 2 2" xfId="249"/>
    <cellStyle name="Accent4 2 2 2" xfId="250"/>
    <cellStyle name="Accent4 2 2 3" xfId="251"/>
    <cellStyle name="Accent4 2 2 4" xfId="252"/>
    <cellStyle name="Accent4 2 3" xfId="253"/>
    <cellStyle name="Accent4 2 4" xfId="254"/>
    <cellStyle name="Accent4 2 5" xfId="255"/>
    <cellStyle name="Accent4 2_QC Sheet" xfId="256"/>
    <cellStyle name="Accent4 3" xfId="257"/>
    <cellStyle name="Accent4 4" xfId="1301"/>
    <cellStyle name="Accent5 2" xfId="258"/>
    <cellStyle name="Accent5 2 2" xfId="259"/>
    <cellStyle name="Accent5 2 2 2" xfId="260"/>
    <cellStyle name="Accent5 2 2 3" xfId="261"/>
    <cellStyle name="Accent5 2 2 4" xfId="262"/>
    <cellStyle name="Accent5 2 3" xfId="263"/>
    <cellStyle name="Accent5 2 4" xfId="264"/>
    <cellStyle name="Accent5 2 5" xfId="265"/>
    <cellStyle name="Accent5 2_QC Sheet" xfId="266"/>
    <cellStyle name="Accent5 3" xfId="267"/>
    <cellStyle name="Accent5 4" xfId="1302"/>
    <cellStyle name="Accent6 2" xfId="268"/>
    <cellStyle name="Accent6 2 2" xfId="269"/>
    <cellStyle name="Accent6 2 2 2" xfId="270"/>
    <cellStyle name="Accent6 2 2 3" xfId="271"/>
    <cellStyle name="Accent6 2 2 4" xfId="272"/>
    <cellStyle name="Accent6 2 3" xfId="273"/>
    <cellStyle name="Accent6 2 4" xfId="274"/>
    <cellStyle name="Accent6 2 5" xfId="275"/>
    <cellStyle name="Accent6 2_QC Sheet" xfId="276"/>
    <cellStyle name="Accent6 3" xfId="277"/>
    <cellStyle name="Accent6 4" xfId="1303"/>
    <cellStyle name="Adjustable" xfId="278"/>
    <cellStyle name="Bad 2" xfId="279"/>
    <cellStyle name="Bad 2 2" xfId="280"/>
    <cellStyle name="Bad 2 2 2" xfId="281"/>
    <cellStyle name="Bad 2 2 3" xfId="282"/>
    <cellStyle name="Bad 2 2 4" xfId="283"/>
    <cellStyle name="Bad 2 3" xfId="284"/>
    <cellStyle name="Bad 2 4" xfId="285"/>
    <cellStyle name="Bad 2 5" xfId="286"/>
    <cellStyle name="Bad 2_QC Sheet" xfId="287"/>
    <cellStyle name="Bad 3" xfId="288"/>
    <cellStyle name="Bad 4" xfId="1304"/>
    <cellStyle name="Calc Currency (0)" xfId="289"/>
    <cellStyle name="Calculation 2" xfId="290"/>
    <cellStyle name="Calculation 2 2" xfId="291"/>
    <cellStyle name="Calculation 2 2 2" xfId="292"/>
    <cellStyle name="Calculation 2 2 3" xfId="293"/>
    <cellStyle name="Calculation 2 2 4" xfId="294"/>
    <cellStyle name="Calculation 2 3" xfId="295"/>
    <cellStyle name="Calculation 2 4" xfId="296"/>
    <cellStyle name="Calculation 2 5" xfId="297"/>
    <cellStyle name="Calculation 2_QC" xfId="298"/>
    <cellStyle name="Calculation 3" xfId="299"/>
    <cellStyle name="Calculation 4" xfId="1305"/>
    <cellStyle name="Check Cell 2" xfId="300"/>
    <cellStyle name="Check Cell 2 2" xfId="301"/>
    <cellStyle name="Check Cell 2 2 2" xfId="302"/>
    <cellStyle name="Check Cell 2 2 3" xfId="303"/>
    <cellStyle name="Check Cell 2 2 4" xfId="304"/>
    <cellStyle name="Check Cell 2 3" xfId="305"/>
    <cellStyle name="Check Cell 2 4" xfId="306"/>
    <cellStyle name="Check Cell 2 5" xfId="307"/>
    <cellStyle name="Check Cell 2_QC" xfId="308"/>
    <cellStyle name="Check Cell 3" xfId="309"/>
    <cellStyle name="Check Cell 4" xfId="1306"/>
    <cellStyle name="Comma" xfId="1560" builtinId="3"/>
    <cellStyle name="Comma 0" xfId="311"/>
    <cellStyle name="Comma 10" xfId="312"/>
    <cellStyle name="Comma 10 2" xfId="313"/>
    <cellStyle name="Comma 10 2 2" xfId="1309"/>
    <cellStyle name="Comma 10 2 2 2" xfId="2198"/>
    <cellStyle name="Comma 10 2 3" xfId="1308"/>
    <cellStyle name="Comma 10 2 4" xfId="1663"/>
    <cellStyle name="Comma 10 3" xfId="1311"/>
    <cellStyle name="Comma 10 3 2" xfId="2199"/>
    <cellStyle name="Comma 10 4" xfId="1312"/>
    <cellStyle name="Comma 10 5" xfId="1307"/>
    <cellStyle name="Comma 10 6" xfId="1662"/>
    <cellStyle name="Comma 11" xfId="314"/>
    <cellStyle name="Comma 11 2" xfId="315"/>
    <cellStyle name="Comma 11 3" xfId="316"/>
    <cellStyle name="Comma 11 3 2" xfId="1313"/>
    <cellStyle name="Comma 11 3 3" xfId="1314"/>
    <cellStyle name="Comma 12" xfId="317"/>
    <cellStyle name="Comma 13" xfId="318"/>
    <cellStyle name="Comma 13 2" xfId="1315"/>
    <cellStyle name="Comma 13 3" xfId="1316"/>
    <cellStyle name="Comma 14" xfId="319"/>
    <cellStyle name="Comma 15" xfId="310"/>
    <cellStyle name="Comma 15 2" xfId="1318"/>
    <cellStyle name="Comma 15 2 2" xfId="2201"/>
    <cellStyle name="Comma 15 3" xfId="1317"/>
    <cellStyle name="Comma 15 3 2" xfId="2200"/>
    <cellStyle name="Comma 16" xfId="1319"/>
    <cellStyle name="Comma 16 2" xfId="1320"/>
    <cellStyle name="Comma 16 3" xfId="1321"/>
    <cellStyle name="Comma 16 3 2" xfId="2203"/>
    <cellStyle name="Comma 16 4" xfId="2202"/>
    <cellStyle name="Comma 17" xfId="1322"/>
    <cellStyle name="Comma 18" xfId="1323"/>
    <cellStyle name="Comma 18 2" xfId="2204"/>
    <cellStyle name="Comma 2" xfId="320"/>
    <cellStyle name="Comma 2 2" xfId="321"/>
    <cellStyle name="Comma 2 2 2" xfId="322"/>
    <cellStyle name="Comma 2 2 2 2" xfId="323"/>
    <cellStyle name="Comma 2 2 2 3" xfId="324"/>
    <cellStyle name="Comma 2 2 3" xfId="325"/>
    <cellStyle name="Comma 2 2 4" xfId="2381"/>
    <cellStyle name="Comma 2 3" xfId="326"/>
    <cellStyle name="Comma 2 3 2" xfId="327"/>
    <cellStyle name="Comma 2 4" xfId="328"/>
    <cellStyle name="Comma 2 4 2" xfId="329"/>
    <cellStyle name="Comma 2 4 2 2" xfId="1666"/>
    <cellStyle name="Comma 2 4 3" xfId="330"/>
    <cellStyle name="Comma 2 4 3 2" xfId="1667"/>
    <cellStyle name="Comma 2 4 4" xfId="1665"/>
    <cellStyle name="Comma 2 5" xfId="331"/>
    <cellStyle name="Comma 2 6" xfId="332"/>
    <cellStyle name="Comma 2 7" xfId="1664"/>
    <cellStyle name="Comma 2 8" xfId="2421"/>
    <cellStyle name="Comma 2 9" xfId="2422"/>
    <cellStyle name="Comma 2 9 2" xfId="2423"/>
    <cellStyle name="Comma 2_BP-14 Preliminary Capital Forecast NonBudget System_5 2 13" xfId="333"/>
    <cellStyle name="Comma 3" xfId="334"/>
    <cellStyle name="Comma 3 10" xfId="335"/>
    <cellStyle name="Comma 3 11" xfId="336"/>
    <cellStyle name="Comma 3 12" xfId="337"/>
    <cellStyle name="Comma 3 12 2" xfId="1325"/>
    <cellStyle name="Comma 3 12 2 2" xfId="2206"/>
    <cellStyle name="Comma 3 12 3" xfId="1668"/>
    <cellStyle name="Comma 3 13" xfId="338"/>
    <cellStyle name="Comma 3 14" xfId="2327"/>
    <cellStyle name="Comma 3 2" xfId="339"/>
    <cellStyle name="Comma 3 2 10" xfId="2328"/>
    <cellStyle name="Comma 3 2 2" xfId="340"/>
    <cellStyle name="Comma 3 2 2 2" xfId="341"/>
    <cellStyle name="Comma 3 2 2 2 2" xfId="342"/>
    <cellStyle name="Comma 3 2 2 2 2 2" xfId="1669"/>
    <cellStyle name="Comma 3 2 2 2 3" xfId="1326"/>
    <cellStyle name="Comma 3 2 2 3" xfId="343"/>
    <cellStyle name="Comma 3 2 2 3 2" xfId="344"/>
    <cellStyle name="Comma 3 2 2 3 3" xfId="345"/>
    <cellStyle name="Comma 3 2 2 3 3 2" xfId="1327"/>
    <cellStyle name="Comma 3 2 2 3 3 3" xfId="1328"/>
    <cellStyle name="Comma 3 2 2 4" xfId="346"/>
    <cellStyle name="Comma 3 2 2 5" xfId="347"/>
    <cellStyle name="Comma 3 2 2 5 2" xfId="1329"/>
    <cellStyle name="Comma 3 2 2 5 3" xfId="1330"/>
    <cellStyle name="Comma 3 2 2 6" xfId="348"/>
    <cellStyle name="Comma 3 2 2 7" xfId="349"/>
    <cellStyle name="Comma 3 2 2 7 2" xfId="1670"/>
    <cellStyle name="Comma 3 2 2 8" xfId="350"/>
    <cellStyle name="Comma 3 2 2 8 2" xfId="1332"/>
    <cellStyle name="Comma 3 2 3" xfId="351"/>
    <cellStyle name="Comma 3 2 3 2" xfId="352"/>
    <cellStyle name="Comma 3 2 3 2 2" xfId="1672"/>
    <cellStyle name="Comma 3 2 3 3" xfId="353"/>
    <cellStyle name="Comma 3 2 3 4" xfId="354"/>
    <cellStyle name="Comma 3 2 3 5" xfId="1671"/>
    <cellStyle name="Comma 3 2 4" xfId="355"/>
    <cellStyle name="Comma 3 2 4 2" xfId="356"/>
    <cellStyle name="Comma 3 2 5" xfId="357"/>
    <cellStyle name="Comma 3 2 5 2" xfId="358"/>
    <cellStyle name="Comma 3 2 5 3" xfId="359"/>
    <cellStyle name="Comma 3 2 5 3 2" xfId="1333"/>
    <cellStyle name="Comma 3 2 5 3 3" xfId="1334"/>
    <cellStyle name="Comma 3 2 6" xfId="360"/>
    <cellStyle name="Comma 3 2 7" xfId="361"/>
    <cellStyle name="Comma 3 2 8" xfId="362"/>
    <cellStyle name="Comma 3 2 9" xfId="363"/>
    <cellStyle name="Comma 3 3" xfId="364"/>
    <cellStyle name="Comma 3 3 2" xfId="365"/>
    <cellStyle name="Comma 3 3 2 2" xfId="1673"/>
    <cellStyle name="Comma 3 3 3" xfId="366"/>
    <cellStyle name="Comma 3 3 4" xfId="367"/>
    <cellStyle name="Comma 3 3 4 2" xfId="1674"/>
    <cellStyle name="Comma 3 4" xfId="368"/>
    <cellStyle name="Comma 3 4 2" xfId="369"/>
    <cellStyle name="Comma 3 4 2 2" xfId="370"/>
    <cellStyle name="Comma 3 4 2 3" xfId="371"/>
    <cellStyle name="Comma 3 4 2 3 2" xfId="1335"/>
    <cellStyle name="Comma 3 4 2 3 3" xfId="1336"/>
    <cellStyle name="Comma 3 4 3" xfId="372"/>
    <cellStyle name="Comma 3 4 3 2" xfId="1337"/>
    <cellStyle name="Comma 3 4 3 3" xfId="1338"/>
    <cellStyle name="Comma 3 4 4" xfId="373"/>
    <cellStyle name="Comma 3 4 5" xfId="374"/>
    <cellStyle name="Comma 3 4 5 2" xfId="1339"/>
    <cellStyle name="Comma 3 5" xfId="375"/>
    <cellStyle name="Comma 3 5 2" xfId="376"/>
    <cellStyle name="Comma 3 5 2 2" xfId="377"/>
    <cellStyle name="Comma 3 5 2 3" xfId="378"/>
    <cellStyle name="Comma 3 5 2 3 2" xfId="1340"/>
    <cellStyle name="Comma 3 5 2 3 3" xfId="1341"/>
    <cellStyle name="Comma 3 5 3" xfId="379"/>
    <cellStyle name="Comma 3 5 3 2" xfId="1342"/>
    <cellStyle name="Comma 3 5 3 3" xfId="1343"/>
    <cellStyle name="Comma 3 5 4" xfId="380"/>
    <cellStyle name="Comma 3 5 4 2" xfId="1675"/>
    <cellStyle name="Comma 3 5 5" xfId="381"/>
    <cellStyle name="Comma 3 5 5 2" xfId="1344"/>
    <cellStyle name="Comma 3 6" xfId="382"/>
    <cellStyle name="Comma 3 6 2" xfId="383"/>
    <cellStyle name="Comma 3 6 2 2" xfId="384"/>
    <cellStyle name="Comma 3 6 2 3" xfId="385"/>
    <cellStyle name="Comma 3 6 3" xfId="386"/>
    <cellStyle name="Comma 3 7" xfId="387"/>
    <cellStyle name="Comma 3 8" xfId="388"/>
    <cellStyle name="Comma 3 8 2" xfId="389"/>
    <cellStyle name="Comma 3 9" xfId="390"/>
    <cellStyle name="Comma 3 9 2" xfId="391"/>
    <cellStyle name="Comma 3 9 3" xfId="392"/>
    <cellStyle name="Comma 3 9 3 2" xfId="1346"/>
    <cellStyle name="Comma 3 9 3 3" xfId="1347"/>
    <cellStyle name="Comma 4" xfId="393"/>
    <cellStyle name="Comma 4 2" xfId="394"/>
    <cellStyle name="Comma 4 2 2" xfId="395"/>
    <cellStyle name="Comma 4 2 2 2" xfId="396"/>
    <cellStyle name="Comma 4 2 2 2 2" xfId="1677"/>
    <cellStyle name="Comma 4 2 2 3" xfId="1348"/>
    <cellStyle name="Comma 4 2 3" xfId="397"/>
    <cellStyle name="Comma 4 2 3 2" xfId="1678"/>
    <cellStyle name="Comma 4 2 4" xfId="398"/>
    <cellStyle name="Comma 4 2 4 2" xfId="399"/>
    <cellStyle name="Comma 4 2 4 3" xfId="400"/>
    <cellStyle name="Comma 4 2 4 3 2" xfId="1349"/>
    <cellStyle name="Comma 4 2 4 3 3" xfId="1350"/>
    <cellStyle name="Comma 4 2 5" xfId="401"/>
    <cellStyle name="Comma 4 2 5 2" xfId="1351"/>
    <cellStyle name="Comma 4 2 5 3" xfId="1352"/>
    <cellStyle name="Comma 4 2 6" xfId="402"/>
    <cellStyle name="Comma 4 2 7" xfId="403"/>
    <cellStyle name="Comma 4 2 7 2" xfId="1679"/>
    <cellStyle name="Comma 4 2 8" xfId="404"/>
    <cellStyle name="Comma 4 2 8 2" xfId="1353"/>
    <cellStyle name="Comma 4 3" xfId="1676"/>
    <cellStyle name="Comma 5" xfId="405"/>
    <cellStyle name="Comma 5 2" xfId="406"/>
    <cellStyle name="Comma 5 2 2" xfId="1681"/>
    <cellStyle name="Comma 5 3" xfId="407"/>
    <cellStyle name="Comma 5 3 2" xfId="1682"/>
    <cellStyle name="Comma 5 4" xfId="408"/>
    <cellStyle name="Comma 5 5" xfId="1680"/>
    <cellStyle name="Comma 6" xfId="409"/>
    <cellStyle name="Comma 6 10" xfId="410"/>
    <cellStyle name="Comma 6 11" xfId="1683"/>
    <cellStyle name="Comma 6 2" xfId="411"/>
    <cellStyle name="Comma 6 2 2" xfId="412"/>
    <cellStyle name="Comma 6 2 3" xfId="413"/>
    <cellStyle name="Comma 6 2 3 2" xfId="1685"/>
    <cellStyle name="Comma 6 2 4" xfId="414"/>
    <cellStyle name="Comma 6 2 5" xfId="1684"/>
    <cellStyle name="Comma 6 3" xfId="415"/>
    <cellStyle name="Comma 6 3 2" xfId="416"/>
    <cellStyle name="Comma 6 3 3" xfId="417"/>
    <cellStyle name="Comma 6 3 3 2" xfId="1686"/>
    <cellStyle name="Comma 6 4" xfId="418"/>
    <cellStyle name="Comma 6 4 2" xfId="419"/>
    <cellStyle name="Comma 6 5" xfId="420"/>
    <cellStyle name="Comma 6 6" xfId="421"/>
    <cellStyle name="Comma 6 6 2" xfId="422"/>
    <cellStyle name="Comma 6 6 3" xfId="423"/>
    <cellStyle name="Comma 6 6 3 2" xfId="1354"/>
    <cellStyle name="Comma 6 6 3 3" xfId="1355"/>
    <cellStyle name="Comma 6 7" xfId="424"/>
    <cellStyle name="Comma 6 7 2" xfId="1356"/>
    <cellStyle name="Comma 6 7 3" xfId="1357"/>
    <cellStyle name="Comma 6 8" xfId="425"/>
    <cellStyle name="Comma 6 8 2" xfId="1687"/>
    <cellStyle name="Comma 6 9" xfId="426"/>
    <cellStyle name="Comma 7" xfId="427"/>
    <cellStyle name="Comma 7 2" xfId="428"/>
    <cellStyle name="Comma 7 2 2" xfId="1688"/>
    <cellStyle name="Comma 7 3" xfId="429"/>
    <cellStyle name="Comma 7 4" xfId="430"/>
    <cellStyle name="Comma 7 4 2" xfId="1689"/>
    <cellStyle name="Comma 7 5" xfId="431"/>
    <cellStyle name="Comma 7 5 2" xfId="1690"/>
    <cellStyle name="Comma 8" xfId="432"/>
    <cellStyle name="Comma 8 2" xfId="433"/>
    <cellStyle name="Comma 8 3" xfId="434"/>
    <cellStyle name="Comma 8 3 2" xfId="1691"/>
    <cellStyle name="Comma 8 4" xfId="435"/>
    <cellStyle name="Comma 8 4 2" xfId="1692"/>
    <cellStyle name="Comma 8 5" xfId="436"/>
    <cellStyle name="Comma 8 5 2" xfId="1693"/>
    <cellStyle name="Comma 8 6" xfId="437"/>
    <cellStyle name="Comma 9" xfId="438"/>
    <cellStyle name="Comma 9 2" xfId="439"/>
    <cellStyle name="Comma 9 2 2" xfId="1695"/>
    <cellStyle name="Comma 9 3" xfId="440"/>
    <cellStyle name="Comma 9 4" xfId="1694"/>
    <cellStyle name="Comma0" xfId="441"/>
    <cellStyle name="Comma0 - Style4" xfId="442"/>
    <cellStyle name="Comma0 10" xfId="2348"/>
    <cellStyle name="Comma0 11" xfId="2398"/>
    <cellStyle name="Comma0 12" xfId="2399"/>
    <cellStyle name="Comma0 13" xfId="2400"/>
    <cellStyle name="Comma0 14" xfId="2401"/>
    <cellStyle name="Comma0 15" xfId="2403"/>
    <cellStyle name="Comma0 2" xfId="1696"/>
    <cellStyle name="Comma0 3" xfId="2329"/>
    <cellStyle name="Comma0 4" xfId="2336"/>
    <cellStyle name="Comma0 5" xfId="2340"/>
    <cellStyle name="Comma0 6" xfId="2341"/>
    <cellStyle name="Comma0 7" xfId="2346"/>
    <cellStyle name="Comma0 8" xfId="2347"/>
    <cellStyle name="Comma0 9" xfId="2349"/>
    <cellStyle name="Copied" xfId="443"/>
    <cellStyle name="COST1" xfId="444"/>
    <cellStyle name="Curren - Style1" xfId="445"/>
    <cellStyle name="Curren - Style5" xfId="446"/>
    <cellStyle name="Currency" xfId="2436" builtinId="4"/>
    <cellStyle name="Currency 0" xfId="448"/>
    <cellStyle name="Currency 2" xfId="449"/>
    <cellStyle name="Currency 2 2" xfId="450"/>
    <cellStyle name="Currency 2 3" xfId="451"/>
    <cellStyle name="Currency 2 3 2" xfId="1698"/>
    <cellStyle name="Currency 2 4" xfId="452"/>
    <cellStyle name="Currency 2 5" xfId="1697"/>
    <cellStyle name="Currency 2 6" xfId="2424"/>
    <cellStyle name="Currency 2 7" xfId="2425"/>
    <cellStyle name="Currency 2 7 2" xfId="2426"/>
    <cellStyle name="Currency 3" xfId="453"/>
    <cellStyle name="Currency 3 2" xfId="454"/>
    <cellStyle name="Currency 4" xfId="455"/>
    <cellStyle name="Currency 4 2" xfId="456"/>
    <cellStyle name="Currency 4 2 2" xfId="1700"/>
    <cellStyle name="Currency 4 3" xfId="457"/>
    <cellStyle name="Currency 4 4" xfId="1699"/>
    <cellStyle name="Currency 5" xfId="458"/>
    <cellStyle name="Currency 6" xfId="459"/>
    <cellStyle name="Currency 7" xfId="447"/>
    <cellStyle name="Currency 7 2" xfId="1358"/>
    <cellStyle name="Currency 7 2 2" xfId="2208"/>
    <cellStyle name="Currency 8" xfId="1359"/>
    <cellStyle name="Currency 8 2" xfId="2209"/>
    <cellStyle name="Currency 9" xfId="1360"/>
    <cellStyle name="Currency 9 2" xfId="2210"/>
    <cellStyle name="Currency0" xfId="460"/>
    <cellStyle name="Currency0 2" xfId="1701"/>
    <cellStyle name="Date" xfId="461"/>
    <cellStyle name="Date 2" xfId="462"/>
    <cellStyle name="Date Aligned" xfId="463"/>
    <cellStyle name="Dotted Line" xfId="464"/>
    <cellStyle name="Entered" xfId="465"/>
    <cellStyle name="Entered 2" xfId="1702"/>
    <cellStyle name="Explanatory Text 2" xfId="466"/>
    <cellStyle name="Explanatory Text 2 2" xfId="467"/>
    <cellStyle name="Explanatory Text 2 2 2" xfId="468"/>
    <cellStyle name="Explanatory Text 2 2 3" xfId="469"/>
    <cellStyle name="Explanatory Text 2 2 4" xfId="470"/>
    <cellStyle name="Explanatory Text 2 3" xfId="471"/>
    <cellStyle name="Explanatory Text 2 4" xfId="472"/>
    <cellStyle name="Explanatory Text 2 5" xfId="473"/>
    <cellStyle name="Explanatory Text 2_QC Sheet" xfId="474"/>
    <cellStyle name="Explanatory Text 3" xfId="475"/>
    <cellStyle name="Explanatory Text 4" xfId="1361"/>
    <cellStyle name="Fixed" xfId="476"/>
    <cellStyle name="Fixed3 - Style3" xfId="477"/>
    <cellStyle name="Footnote" xfId="478"/>
    <cellStyle name="Good 2" xfId="479"/>
    <cellStyle name="Good 2 2" xfId="480"/>
    <cellStyle name="Good 2 2 2" xfId="481"/>
    <cellStyle name="Good 2 2 3" xfId="482"/>
    <cellStyle name="Good 2 2 4" xfId="483"/>
    <cellStyle name="Good 2 3" xfId="484"/>
    <cellStyle name="Good 2 4" xfId="485"/>
    <cellStyle name="Good 2 5" xfId="486"/>
    <cellStyle name="Good 2_QC Sheet" xfId="487"/>
    <cellStyle name="Good 3" xfId="488"/>
    <cellStyle name="Good 4" xfId="1362"/>
    <cellStyle name="Grey" xfId="489"/>
    <cellStyle name="Grey 2" xfId="490"/>
    <cellStyle name="Hard Percent" xfId="491"/>
    <cellStyle name="Header" xfId="492"/>
    <cellStyle name="Header1" xfId="493"/>
    <cellStyle name="Header2" xfId="494"/>
    <cellStyle name="Heading 1 2" xfId="495"/>
    <cellStyle name="Heading 1 2 2" xfId="496"/>
    <cellStyle name="Heading 1 2 2 2" xfId="497"/>
    <cellStyle name="Heading 1 2 2 3" xfId="498"/>
    <cellStyle name="Heading 1 2 3" xfId="499"/>
    <cellStyle name="Heading 1 2 4" xfId="500"/>
    <cellStyle name="Heading 1 2 5" xfId="501"/>
    <cellStyle name="Heading 1 2_QC" xfId="502"/>
    <cellStyle name="Heading 1 3" xfId="503"/>
    <cellStyle name="Heading 1 4" xfId="1363"/>
    <cellStyle name="Heading 2 2" xfId="504"/>
    <cellStyle name="Heading 2 2 2" xfId="505"/>
    <cellStyle name="Heading 2 2 2 2" xfId="506"/>
    <cellStyle name="Heading 2 2 2 3" xfId="507"/>
    <cellStyle name="Heading 2 2 3" xfId="508"/>
    <cellStyle name="Heading 2 2 4" xfId="509"/>
    <cellStyle name="Heading 2 2 5" xfId="510"/>
    <cellStyle name="Heading 2 2_QC" xfId="511"/>
    <cellStyle name="Heading 2 3" xfId="512"/>
    <cellStyle name="Heading 2 4" xfId="1365"/>
    <cellStyle name="Heading 3 2" xfId="513"/>
    <cellStyle name="Heading 3 2 2" xfId="514"/>
    <cellStyle name="Heading 3 2 2 2" xfId="515"/>
    <cellStyle name="Heading 3 2 2 3" xfId="516"/>
    <cellStyle name="Heading 3 2 3" xfId="517"/>
    <cellStyle name="Heading 3 2 4" xfId="518"/>
    <cellStyle name="Heading 3 2 5" xfId="519"/>
    <cellStyle name="Heading 3 2_QC" xfId="520"/>
    <cellStyle name="Heading 3 3" xfId="521"/>
    <cellStyle name="Heading 3 4" xfId="1366"/>
    <cellStyle name="Heading 4 2" xfId="522"/>
    <cellStyle name="Heading 4 2 2" xfId="523"/>
    <cellStyle name="Heading 4 2 2 2" xfId="524"/>
    <cellStyle name="Heading 4 2 2 3" xfId="525"/>
    <cellStyle name="Heading 4 2 3" xfId="526"/>
    <cellStyle name="Heading 4 2 4" xfId="527"/>
    <cellStyle name="Heading 4 2 5" xfId="528"/>
    <cellStyle name="Heading 4 3" xfId="529"/>
    <cellStyle name="Heading 4 4" xfId="1367"/>
    <cellStyle name="Heading1" xfId="530"/>
    <cellStyle name="Heading2" xfId="531"/>
    <cellStyle name="Hyperlink" xfId="1561" builtinId="8"/>
    <cellStyle name="Hyperlink 2" xfId="532"/>
    <cellStyle name="Hyperlink 3" xfId="533"/>
    <cellStyle name="Hyperlink 3 2" xfId="1368"/>
    <cellStyle name="Hyperlink 3 3" xfId="1369"/>
    <cellStyle name="Hyperlink 4" xfId="534"/>
    <cellStyle name="Hyperlink 4 2" xfId="1370"/>
    <cellStyle name="Hyperlink 4 3" xfId="1371"/>
    <cellStyle name="Hyperlink 5" xfId="535"/>
    <cellStyle name="Hyperlink 5 2" xfId="1372"/>
    <cellStyle name="Hyperlink 5 3" xfId="1373"/>
    <cellStyle name="Hyperlink 6" xfId="1374"/>
    <cellStyle name="Input [yellow]" xfId="536"/>
    <cellStyle name="Input [yellow] 2" xfId="537"/>
    <cellStyle name="Input 2" xfId="538"/>
    <cellStyle name="Input 2 2" xfId="539"/>
    <cellStyle name="Input 2 2 2" xfId="540"/>
    <cellStyle name="Input 2 2 3" xfId="541"/>
    <cellStyle name="Input 2 2 4" xfId="542"/>
    <cellStyle name="Input 2 3" xfId="543"/>
    <cellStyle name="Input 2 4" xfId="544"/>
    <cellStyle name="Input 2 5" xfId="545"/>
    <cellStyle name="Input 2_QC" xfId="546"/>
    <cellStyle name="Input 3" xfId="547"/>
    <cellStyle name="Input 4" xfId="548"/>
    <cellStyle name="Input 5" xfId="549"/>
    <cellStyle name="Input 6" xfId="550"/>
    <cellStyle name="Input 7" xfId="551"/>
    <cellStyle name="Input 8" xfId="552"/>
    <cellStyle name="Input 9" xfId="1375"/>
    <cellStyle name="Input Cells" xfId="553"/>
    <cellStyle name="Lines" xfId="554"/>
    <cellStyle name="Lines 2" xfId="555"/>
    <cellStyle name="Linked Cell 2" xfId="556"/>
    <cellStyle name="Linked Cell 2 2" xfId="557"/>
    <cellStyle name="Linked Cell 2 2 2" xfId="558"/>
    <cellStyle name="Linked Cell 2 2 2 2" xfId="2338"/>
    <cellStyle name="Linked Cell 2 2 3" xfId="559"/>
    <cellStyle name="Linked Cell 2 2 3 2" xfId="2333"/>
    <cellStyle name="Linked Cell 2 2 4" xfId="2334"/>
    <cellStyle name="Linked Cell 2 3" xfId="560"/>
    <cellStyle name="Linked Cell 2 3 2" xfId="2337"/>
    <cellStyle name="Linked Cell 2 4" xfId="561"/>
    <cellStyle name="Linked Cell 2 4 2" xfId="2332"/>
    <cellStyle name="Linked Cell 2 5" xfId="2339"/>
    <cellStyle name="Linked Cell 2_QC" xfId="562"/>
    <cellStyle name="Linked Cell 3" xfId="563"/>
    <cellStyle name="Linked Cell 3 2" xfId="2331"/>
    <cellStyle name="Linked Cell 4" xfId="1377"/>
    <cellStyle name="modified border" xfId="564"/>
    <cellStyle name="modified border1" xfId="565"/>
    <cellStyle name="Multiple" xfId="566"/>
    <cellStyle name="Neutral 2" xfId="567"/>
    <cellStyle name="Neutral 2 2" xfId="568"/>
    <cellStyle name="Neutral 2 2 2" xfId="569"/>
    <cellStyle name="Neutral 2 2 3" xfId="570"/>
    <cellStyle name="Neutral 2 3" xfId="571"/>
    <cellStyle name="Neutral 2 4" xfId="572"/>
    <cellStyle name="Neutral 2_QC Sheet" xfId="573"/>
    <cellStyle name="Neutral 3" xfId="574"/>
    <cellStyle name="Neutral 4" xfId="1378"/>
    <cellStyle name="no dec" xfId="575"/>
    <cellStyle name="Normal" xfId="0" builtinId="0"/>
    <cellStyle name="Normal - Style1" xfId="576"/>
    <cellStyle name="Normal 10" xfId="577"/>
    <cellStyle name="Normal 10 2" xfId="578"/>
    <cellStyle name="Normal 10 2 2" xfId="1704"/>
    <cellStyle name="Normal 10 3" xfId="579"/>
    <cellStyle name="Normal 10 4" xfId="1703"/>
    <cellStyle name="Normal 100" xfId="580"/>
    <cellStyle name="Normal 100 2" xfId="1705"/>
    <cellStyle name="Normal 101" xfId="581"/>
    <cellStyle name="Normal 101 2" xfId="1706"/>
    <cellStyle name="Normal 102" xfId="582"/>
    <cellStyle name="Normal 102 2" xfId="1707"/>
    <cellStyle name="Normal 103" xfId="583"/>
    <cellStyle name="Normal 103 2" xfId="1708"/>
    <cellStyle name="Normal 104" xfId="584"/>
    <cellStyle name="Normal 104 2" xfId="1709"/>
    <cellStyle name="Normal 105" xfId="585"/>
    <cellStyle name="Normal 105 2" xfId="1710"/>
    <cellStyle name="Normal 106" xfId="586"/>
    <cellStyle name="Normal 106 2" xfId="1711"/>
    <cellStyle name="Normal 107" xfId="587"/>
    <cellStyle name="Normal 107 2" xfId="1712"/>
    <cellStyle name="Normal 108" xfId="588"/>
    <cellStyle name="Normal 108 2" xfId="1713"/>
    <cellStyle name="Normal 109" xfId="589"/>
    <cellStyle name="Normal 109 2" xfId="590"/>
    <cellStyle name="Normal 109 2 2" xfId="1715"/>
    <cellStyle name="Normal 109 3" xfId="1714"/>
    <cellStyle name="Normal 11" xfId="591"/>
    <cellStyle name="Normal 11 2" xfId="592"/>
    <cellStyle name="Normal 11 3" xfId="593"/>
    <cellStyle name="Normal 11 3 2" xfId="1379"/>
    <cellStyle name="Normal 11 3 3" xfId="1380"/>
    <cellStyle name="Normal 11 4" xfId="594"/>
    <cellStyle name="Normal 110" xfId="595"/>
    <cellStyle name="Normal 110 2" xfId="596"/>
    <cellStyle name="Normal 110 2 2" xfId="1717"/>
    <cellStyle name="Normal 110 3" xfId="1716"/>
    <cellStyle name="Normal 111" xfId="597"/>
    <cellStyle name="Normal 111 2" xfId="598"/>
    <cellStyle name="Normal 111 2 2" xfId="1719"/>
    <cellStyle name="Normal 111 3" xfId="1718"/>
    <cellStyle name="Normal 112" xfId="599"/>
    <cellStyle name="Normal 112 2" xfId="600"/>
    <cellStyle name="Normal 112 2 2" xfId="1721"/>
    <cellStyle name="Normal 112 3" xfId="1720"/>
    <cellStyle name="Normal 113" xfId="601"/>
    <cellStyle name="Normal 113 2" xfId="602"/>
    <cellStyle name="Normal 113 2 2" xfId="1723"/>
    <cellStyle name="Normal 113 3" xfId="1722"/>
    <cellStyle name="Normal 114" xfId="603"/>
    <cellStyle name="Normal 114 2" xfId="604"/>
    <cellStyle name="Normal 114 2 2" xfId="1725"/>
    <cellStyle name="Normal 114 3" xfId="1724"/>
    <cellStyle name="Normal 115" xfId="605"/>
    <cellStyle name="Normal 115 2" xfId="606"/>
    <cellStyle name="Normal 115 2 2" xfId="1727"/>
    <cellStyle name="Normal 115 3" xfId="1726"/>
    <cellStyle name="Normal 116" xfId="607"/>
    <cellStyle name="Normal 116 2" xfId="1728"/>
    <cellStyle name="Normal 117" xfId="608"/>
    <cellStyle name="Normal 117 2" xfId="1729"/>
    <cellStyle name="Normal 118" xfId="609"/>
    <cellStyle name="Normal 118 2" xfId="1730"/>
    <cellStyle name="Normal 119" xfId="610"/>
    <cellStyle name="Normal 119 2" xfId="1731"/>
    <cellStyle name="Normal 12" xfId="611"/>
    <cellStyle name="Normal 12 2" xfId="1644"/>
    <cellStyle name="Normal 120" xfId="612"/>
    <cellStyle name="Normal 120 2" xfId="1732"/>
    <cellStyle name="Normal 121" xfId="613"/>
    <cellStyle name="Normal 121 2" xfId="1733"/>
    <cellStyle name="Normal 122" xfId="614"/>
    <cellStyle name="Normal 122 2" xfId="1734"/>
    <cellStyle name="Normal 123" xfId="615"/>
    <cellStyle name="Normal 123 2" xfId="1735"/>
    <cellStyle name="Normal 124" xfId="616"/>
    <cellStyle name="Normal 124 2" xfId="1736"/>
    <cellStyle name="Normal 125" xfId="617"/>
    <cellStyle name="Normal 125 2" xfId="1737"/>
    <cellStyle name="Normal 126" xfId="618"/>
    <cellStyle name="Normal 126 2" xfId="1738"/>
    <cellStyle name="Normal 127" xfId="619"/>
    <cellStyle name="Normal 127 2" xfId="1739"/>
    <cellStyle name="Normal 128" xfId="620"/>
    <cellStyle name="Normal 128 2" xfId="1740"/>
    <cellStyle name="Normal 129" xfId="621"/>
    <cellStyle name="Normal 129 2" xfId="1741"/>
    <cellStyle name="Normal 13" xfId="622"/>
    <cellStyle name="Normal 13 2" xfId="623"/>
    <cellStyle name="Normal 13 2 2" xfId="1743"/>
    <cellStyle name="Normal 13 3" xfId="1742"/>
    <cellStyle name="Normal 130" xfId="624"/>
    <cellStyle name="Normal 130 2" xfId="1744"/>
    <cellStyle name="Normal 131" xfId="625"/>
    <cellStyle name="Normal 131 2" xfId="1745"/>
    <cellStyle name="Normal 132" xfId="626"/>
    <cellStyle name="Normal 132 2" xfId="627"/>
    <cellStyle name="Normal 132 2 2" xfId="1747"/>
    <cellStyle name="Normal 132 3" xfId="1746"/>
    <cellStyle name="Normal 133" xfId="628"/>
    <cellStyle name="Normal 133 2" xfId="629"/>
    <cellStyle name="Normal 133 2 2" xfId="1749"/>
    <cellStyle name="Normal 133 3" xfId="1748"/>
    <cellStyle name="Normal 134" xfId="630"/>
    <cellStyle name="Normal 134 2" xfId="631"/>
    <cellStyle name="Normal 134 2 2" xfId="1751"/>
    <cellStyle name="Normal 134 3" xfId="1750"/>
    <cellStyle name="Normal 135" xfId="632"/>
    <cellStyle name="Normal 135 2" xfId="633"/>
    <cellStyle name="Normal 135 2 2" xfId="1753"/>
    <cellStyle name="Normal 135 3" xfId="1752"/>
    <cellStyle name="Normal 136" xfId="634"/>
    <cellStyle name="Normal 136 2" xfId="635"/>
    <cellStyle name="Normal 136 2 2" xfId="1755"/>
    <cellStyle name="Normal 136 3" xfId="1754"/>
    <cellStyle name="Normal 137" xfId="636"/>
    <cellStyle name="Normal 137 2" xfId="637"/>
    <cellStyle name="Normal 137 2 2" xfId="1757"/>
    <cellStyle name="Normal 137 3" xfId="1756"/>
    <cellStyle name="Normal 138" xfId="638"/>
    <cellStyle name="Normal 138 2" xfId="639"/>
    <cellStyle name="Normal 138 2 2" xfId="1759"/>
    <cellStyle name="Normal 138 3" xfId="1758"/>
    <cellStyle name="Normal 139" xfId="640"/>
    <cellStyle name="Normal 139 2" xfId="641"/>
    <cellStyle name="Normal 139 2 2" xfId="1761"/>
    <cellStyle name="Normal 139 3" xfId="1760"/>
    <cellStyle name="Normal 14" xfId="642"/>
    <cellStyle name="Normal 14 2" xfId="1762"/>
    <cellStyle name="Normal 140" xfId="643"/>
    <cellStyle name="Normal 140 2" xfId="644"/>
    <cellStyle name="Normal 140 2 2" xfId="1764"/>
    <cellStyle name="Normal 140 3" xfId="1763"/>
    <cellStyle name="Normal 141" xfId="645"/>
    <cellStyle name="Normal 141 2" xfId="646"/>
    <cellStyle name="Normal 141 2 2" xfId="1766"/>
    <cellStyle name="Normal 141 3" xfId="1765"/>
    <cellStyle name="Normal 142" xfId="647"/>
    <cellStyle name="Normal 142 2" xfId="648"/>
    <cellStyle name="Normal 142 2 2" xfId="1768"/>
    <cellStyle name="Normal 142 3" xfId="1767"/>
    <cellStyle name="Normal 143" xfId="649"/>
    <cellStyle name="Normal 143 2" xfId="650"/>
    <cellStyle name="Normal 143 2 2" xfId="1770"/>
    <cellStyle name="Normal 143 3" xfId="1769"/>
    <cellStyle name="Normal 144" xfId="651"/>
    <cellStyle name="Normal 144 2" xfId="1771"/>
    <cellStyle name="Normal 145" xfId="652"/>
    <cellStyle name="Normal 145 2" xfId="1772"/>
    <cellStyle name="Normal 146" xfId="653"/>
    <cellStyle name="Normal 146 2" xfId="1773"/>
    <cellStyle name="Normal 147" xfId="654"/>
    <cellStyle name="Normal 147 2" xfId="1774"/>
    <cellStyle name="Normal 148" xfId="655"/>
    <cellStyle name="Normal 148 2" xfId="1775"/>
    <cellStyle name="Normal 149" xfId="656"/>
    <cellStyle name="Normal 149 2" xfId="1776"/>
    <cellStyle name="Normal 15" xfId="657"/>
    <cellStyle name="Normal 15 2" xfId="1777"/>
    <cellStyle name="Normal 150" xfId="658"/>
    <cellStyle name="Normal 150 2" xfId="1778"/>
    <cellStyle name="Normal 151" xfId="659"/>
    <cellStyle name="Normal 151 2" xfId="1779"/>
    <cellStyle name="Normal 152" xfId="660"/>
    <cellStyle name="Normal 152 2" xfId="1780"/>
    <cellStyle name="Normal 153" xfId="661"/>
    <cellStyle name="Normal 153 2" xfId="1781"/>
    <cellStyle name="Normal 154" xfId="662"/>
    <cellStyle name="Normal 154 2" xfId="1782"/>
    <cellStyle name="Normal 155" xfId="663"/>
    <cellStyle name="Normal 155 2" xfId="1783"/>
    <cellStyle name="Normal 156" xfId="664"/>
    <cellStyle name="Normal 156 2" xfId="1784"/>
    <cellStyle name="Normal 157" xfId="665"/>
    <cellStyle name="Normal 157 2" xfId="1785"/>
    <cellStyle name="Normal 158" xfId="666"/>
    <cellStyle name="Normal 158 2" xfId="1786"/>
    <cellStyle name="Normal 159" xfId="667"/>
    <cellStyle name="Normal 159 2" xfId="1787"/>
    <cellStyle name="Normal 16" xfId="668"/>
    <cellStyle name="Normal 16 2" xfId="1788"/>
    <cellStyle name="Normal 160" xfId="669"/>
    <cellStyle name="Normal 160 2" xfId="1789"/>
    <cellStyle name="Normal 161" xfId="670"/>
    <cellStyle name="Normal 161 2" xfId="1790"/>
    <cellStyle name="Normal 162" xfId="671"/>
    <cellStyle name="Normal 162 2" xfId="1791"/>
    <cellStyle name="Normal 163" xfId="672"/>
    <cellStyle name="Normal 163 2" xfId="1792"/>
    <cellStyle name="Normal 164" xfId="673"/>
    <cellStyle name="Normal 164 2" xfId="1793"/>
    <cellStyle name="Normal 165" xfId="674"/>
    <cellStyle name="Normal 165 2" xfId="1794"/>
    <cellStyle name="Normal 166" xfId="675"/>
    <cellStyle name="Normal 166 2" xfId="1795"/>
    <cellStyle name="Normal 167" xfId="676"/>
    <cellStyle name="Normal 167 2" xfId="1796"/>
    <cellStyle name="Normal 168" xfId="677"/>
    <cellStyle name="Normal 168 2" xfId="678"/>
    <cellStyle name="Normal 168 2 2" xfId="1798"/>
    <cellStyle name="Normal 168 3" xfId="1797"/>
    <cellStyle name="Normal 169" xfId="679"/>
    <cellStyle name="Normal 169 2" xfId="680"/>
    <cellStyle name="Normal 169 2 2" xfId="1800"/>
    <cellStyle name="Normal 169 3" xfId="1799"/>
    <cellStyle name="Normal 17" xfId="681"/>
    <cellStyle name="Normal 17 2" xfId="1801"/>
    <cellStyle name="Normal 170" xfId="682"/>
    <cellStyle name="Normal 170 2" xfId="683"/>
    <cellStyle name="Normal 170 2 2" xfId="1803"/>
    <cellStyle name="Normal 170 3" xfId="1802"/>
    <cellStyle name="Normal 171" xfId="684"/>
    <cellStyle name="Normal 171 2" xfId="685"/>
    <cellStyle name="Normal 171 2 2" xfId="1805"/>
    <cellStyle name="Normal 171 3" xfId="1804"/>
    <cellStyle name="Normal 172" xfId="686"/>
    <cellStyle name="Normal 172 2" xfId="1806"/>
    <cellStyle name="Normal 173" xfId="687"/>
    <cellStyle name="Normal 173 2" xfId="1807"/>
    <cellStyle name="Normal 174" xfId="688"/>
    <cellStyle name="Normal 174 2" xfId="1808"/>
    <cellStyle name="Normal 175" xfId="689"/>
    <cellStyle name="Normal 175 2" xfId="1809"/>
    <cellStyle name="Normal 176" xfId="690"/>
    <cellStyle name="Normal 176 2" xfId="1810"/>
    <cellStyle name="Normal 177" xfId="691"/>
    <cellStyle name="Normal 177 2" xfId="1811"/>
    <cellStyle name="Normal 178" xfId="692"/>
    <cellStyle name="Normal 178 2" xfId="1812"/>
    <cellStyle name="Normal 179" xfId="693"/>
    <cellStyle name="Normal 179 2" xfId="1813"/>
    <cellStyle name="Normal 18" xfId="694"/>
    <cellStyle name="Normal 18 2" xfId="695"/>
    <cellStyle name="Normal 18 3" xfId="696"/>
    <cellStyle name="Normal 18 3 2" xfId="1383"/>
    <cellStyle name="Normal 18 3 3" xfId="1384"/>
    <cellStyle name="Normal 18 4" xfId="697"/>
    <cellStyle name="Normal 180" xfId="698"/>
    <cellStyle name="Normal 180 2" xfId="1814"/>
    <cellStyle name="Normal 181" xfId="699"/>
    <cellStyle name="Normal 181 2" xfId="1815"/>
    <cellStyle name="Normal 182" xfId="700"/>
    <cellStyle name="Normal 182 2" xfId="1385"/>
    <cellStyle name="Normal 182 3" xfId="1386"/>
    <cellStyle name="Normal 183" xfId="701"/>
    <cellStyle name="Normal 183 2" xfId="1387"/>
    <cellStyle name="Normal 183 3" xfId="1388"/>
    <cellStyle name="Normal 184" xfId="702"/>
    <cellStyle name="Normal 184 2" xfId="1389"/>
    <cellStyle name="Normal 184 3" xfId="1390"/>
    <cellStyle name="Normal 185" xfId="703"/>
    <cellStyle name="Normal 185 2" xfId="704"/>
    <cellStyle name="Normal 185 2 2" xfId="1391"/>
    <cellStyle name="Normal 185 2 3" xfId="1392"/>
    <cellStyle name="Normal 185 3" xfId="705"/>
    <cellStyle name="Normal 185 3 2" xfId="1817"/>
    <cellStyle name="Normal 185 4" xfId="1816"/>
    <cellStyle name="Normal 186" xfId="706"/>
    <cellStyle name="Normal 186 2" xfId="1818"/>
    <cellStyle name="Normal 187" xfId="707"/>
    <cellStyle name="Normal 187 2" xfId="1819"/>
    <cellStyle name="Normal 188" xfId="708"/>
    <cellStyle name="Normal 188 2" xfId="1820"/>
    <cellStyle name="Normal 189" xfId="709"/>
    <cellStyle name="Normal 189 2" xfId="1821"/>
    <cellStyle name="Normal 19" xfId="710"/>
    <cellStyle name="Normal 19 2" xfId="1822"/>
    <cellStyle name="Normal 190" xfId="711"/>
    <cellStyle name="Normal 190 2" xfId="1823"/>
    <cellStyle name="Normal 191" xfId="712"/>
    <cellStyle name="Normal 191 2" xfId="1824"/>
    <cellStyle name="Normal 192" xfId="713"/>
    <cellStyle name="Normal 192 2" xfId="1825"/>
    <cellStyle name="Normal 193" xfId="714"/>
    <cellStyle name="Normal 193 2" xfId="1826"/>
    <cellStyle name="Normal 194" xfId="715"/>
    <cellStyle name="Normal 194 2" xfId="1827"/>
    <cellStyle name="Normal 195" xfId="716"/>
    <cellStyle name="Normal 195 2" xfId="1828"/>
    <cellStyle name="Normal 196" xfId="717"/>
    <cellStyle name="Normal 196 2" xfId="1829"/>
    <cellStyle name="Normal 197" xfId="718"/>
    <cellStyle name="Normal 197 2" xfId="1830"/>
    <cellStyle name="Normal 198" xfId="719"/>
    <cellStyle name="Normal 198 2" xfId="1831"/>
    <cellStyle name="Normal 199" xfId="720"/>
    <cellStyle name="Normal 199 2" xfId="1396"/>
    <cellStyle name="Normal 199 3" xfId="1397"/>
    <cellStyle name="Normal 2" xfId="721"/>
    <cellStyle name="Normal 2 2" xfId="722"/>
    <cellStyle name="Normal 2 2 2" xfId="1833"/>
    <cellStyle name="Normal 2 2 3" xfId="2427"/>
    <cellStyle name="Normal 2 3" xfId="723"/>
    <cellStyle name="Normal 2 3 2" xfId="1834"/>
    <cellStyle name="Normal 2 4" xfId="1832"/>
    <cellStyle name="Normal 2 5" xfId="2428"/>
    <cellStyle name="Normal 2 5 2" xfId="2429"/>
    <cellStyle name="Normal 2_Federal Interest Calculation Su" xfId="724"/>
    <cellStyle name="Normal 20" xfId="725"/>
    <cellStyle name="Normal 20 2" xfId="726"/>
    <cellStyle name="Normal 20 3" xfId="727"/>
    <cellStyle name="Normal 20 3 2" xfId="1398"/>
    <cellStyle name="Normal 20 3 3" xfId="1399"/>
    <cellStyle name="Normal 20 4" xfId="728"/>
    <cellStyle name="Normal 200" xfId="729"/>
    <cellStyle name="Normal 200 2" xfId="1835"/>
    <cellStyle name="Normal 201" xfId="730"/>
    <cellStyle name="Normal 201 2" xfId="1836"/>
    <cellStyle name="Normal 202" xfId="731"/>
    <cellStyle name="Normal 202 2" xfId="1837"/>
    <cellStyle name="Normal 203" xfId="732"/>
    <cellStyle name="Normal 203 2" xfId="1838"/>
    <cellStyle name="Normal 204" xfId="733"/>
    <cellStyle name="Normal 204 2" xfId="1839"/>
    <cellStyle name="Normal 205" xfId="734"/>
    <cellStyle name="Normal 205 2" xfId="1840"/>
    <cellStyle name="Normal 206" xfId="735"/>
    <cellStyle name="Normal 206 2" xfId="1841"/>
    <cellStyle name="Normal 207" xfId="736"/>
    <cellStyle name="Normal 207 2" xfId="1842"/>
    <cellStyle name="Normal 208" xfId="737"/>
    <cellStyle name="Normal 208 2" xfId="1400"/>
    <cellStyle name="Normal 208 2 2" xfId="2212"/>
    <cellStyle name="Normal 208 3" xfId="1843"/>
    <cellStyle name="Normal 209" xfId="738"/>
    <cellStyle name="Normal 209 2" xfId="1401"/>
    <cellStyle name="Normal 209 2 2" xfId="2213"/>
    <cellStyle name="Normal 209 3" xfId="1844"/>
    <cellStyle name="Normal 21" xfId="739"/>
    <cellStyle name="Normal 21 2" xfId="1845"/>
    <cellStyle name="Normal 210" xfId="740"/>
    <cellStyle name="Normal 210 2" xfId="1846"/>
    <cellStyle name="Normal 211" xfId="741"/>
    <cellStyle name="Normal 211 2" xfId="742"/>
    <cellStyle name="Normal 211 2 2" xfId="1848"/>
    <cellStyle name="Normal 211 3" xfId="1402"/>
    <cellStyle name="Normal 211 3 2" xfId="2214"/>
    <cellStyle name="Normal 211 4" xfId="1847"/>
    <cellStyle name="Normal 212" xfId="743"/>
    <cellStyle name="Normal 212 2" xfId="744"/>
    <cellStyle name="Normal 212 2 2" xfId="1850"/>
    <cellStyle name="Normal 212 3" xfId="1403"/>
    <cellStyle name="Normal 212 3 2" xfId="2215"/>
    <cellStyle name="Normal 212 4" xfId="1849"/>
    <cellStyle name="Normal 213" xfId="745"/>
    <cellStyle name="Normal 213 2" xfId="746"/>
    <cellStyle name="Normal 213 2 2" xfId="1852"/>
    <cellStyle name="Normal 213 3" xfId="1404"/>
    <cellStyle name="Normal 213 3 2" xfId="2216"/>
    <cellStyle name="Normal 213 4" xfId="1851"/>
    <cellStyle name="Normal 214" xfId="747"/>
    <cellStyle name="Normal 214 2" xfId="748"/>
    <cellStyle name="Normal 214 2 2" xfId="1854"/>
    <cellStyle name="Normal 214 3" xfId="1405"/>
    <cellStyle name="Normal 214 3 2" xfId="2217"/>
    <cellStyle name="Normal 214 4" xfId="1853"/>
    <cellStyle name="Normal 215" xfId="749"/>
    <cellStyle name="Normal 215 2" xfId="750"/>
    <cellStyle name="Normal 215 2 2" xfId="1856"/>
    <cellStyle name="Normal 215 3" xfId="1406"/>
    <cellStyle name="Normal 215 3 2" xfId="2218"/>
    <cellStyle name="Normal 215 4" xfId="1855"/>
    <cellStyle name="Normal 216" xfId="751"/>
    <cellStyle name="Normal 216 2" xfId="1407"/>
    <cellStyle name="Normal 216 2 2" xfId="2219"/>
    <cellStyle name="Normal 216 3" xfId="1857"/>
    <cellStyle name="Normal 217" xfId="752"/>
    <cellStyle name="Normal 217 2" xfId="1408"/>
    <cellStyle name="Normal 217 2 2" xfId="2220"/>
    <cellStyle name="Normal 217 3" xfId="1858"/>
    <cellStyle name="Normal 218" xfId="753"/>
    <cellStyle name="Normal 218 2" xfId="1409"/>
    <cellStyle name="Normal 218 2 2" xfId="2221"/>
    <cellStyle name="Normal 218 3" xfId="1859"/>
    <cellStyle name="Normal 219" xfId="754"/>
    <cellStyle name="Normal 219 2" xfId="1410"/>
    <cellStyle name="Normal 219 2 2" xfId="2222"/>
    <cellStyle name="Normal 219 3" xfId="1860"/>
    <cellStyle name="Normal 22" xfId="755"/>
    <cellStyle name="Normal 22 2" xfId="1861"/>
    <cellStyle name="Normal 220" xfId="756"/>
    <cellStyle name="Normal 220 2" xfId="1862"/>
    <cellStyle name="Normal 221" xfId="757"/>
    <cellStyle name="Normal 221 2" xfId="1411"/>
    <cellStyle name="Normal 221 3" xfId="1863"/>
    <cellStyle name="Normal 222" xfId="758"/>
    <cellStyle name="Normal 222 2" xfId="1412"/>
    <cellStyle name="Normal 222 3" xfId="1864"/>
    <cellStyle name="Normal 223" xfId="759"/>
    <cellStyle name="Normal 223 2" xfId="1865"/>
    <cellStyle name="Normal 224" xfId="760"/>
    <cellStyle name="Normal 224 2" xfId="1413"/>
    <cellStyle name="Normal 224 2 2" xfId="2223"/>
    <cellStyle name="Normal 225" xfId="761"/>
    <cellStyle name="Normal 225 2" xfId="1414"/>
    <cellStyle name="Normal 225 2 2" xfId="2224"/>
    <cellStyle name="Normal 226" xfId="762"/>
    <cellStyle name="Normal 226 2" xfId="1415"/>
    <cellStyle name="Normal 226 2 2" xfId="2225"/>
    <cellStyle name="Normal 227" xfId="763"/>
    <cellStyle name="Normal 227 2" xfId="1416"/>
    <cellStyle name="Normal 227 2 2" xfId="2226"/>
    <cellStyle name="Normal 228" xfId="764"/>
    <cellStyle name="Normal 228 2" xfId="1417"/>
    <cellStyle name="Normal 228 2 2" xfId="2227"/>
    <cellStyle name="Normal 229" xfId="765"/>
    <cellStyle name="Normal 229 2" xfId="1418"/>
    <cellStyle name="Normal 229 2 2" xfId="2228"/>
    <cellStyle name="Normal 23" xfId="766"/>
    <cellStyle name="Normal 23 2" xfId="1866"/>
    <cellStyle name="Normal 230" xfId="767"/>
    <cellStyle name="Normal 230 2" xfId="1867"/>
    <cellStyle name="Normal 231" xfId="768"/>
    <cellStyle name="Normal 231 2" xfId="1868"/>
    <cellStyle name="Normal 232" xfId="1"/>
    <cellStyle name="Normal 232 2" xfId="1419"/>
    <cellStyle name="Normal 232 2 2" xfId="2229"/>
    <cellStyle name="Normal 233" xfId="1278"/>
    <cellStyle name="Normal 233 2" xfId="1420"/>
    <cellStyle name="Normal 233 2 2" xfId="2230"/>
    <cellStyle name="Normal 234" xfId="1538"/>
    <cellStyle name="Normal 234 2" xfId="1421"/>
    <cellStyle name="Normal 234 2 2" xfId="2231"/>
    <cellStyle name="Normal 235" xfId="1422"/>
    <cellStyle name="Normal 235 2" xfId="2232"/>
    <cellStyle name="Normal 236" xfId="1423"/>
    <cellStyle name="Normal 236 2" xfId="2233"/>
    <cellStyle name="Normal 237" xfId="1424"/>
    <cellStyle name="Normal 237 2" xfId="2234"/>
    <cellStyle name="Normal 238" xfId="1425"/>
    <cellStyle name="Normal 238 2" xfId="2235"/>
    <cellStyle name="Normal 239" xfId="1426"/>
    <cellStyle name="Normal 239 2" xfId="2236"/>
    <cellStyle name="Normal 24" xfId="769"/>
    <cellStyle name="Normal 24 2" xfId="1869"/>
    <cellStyle name="Normal 240" xfId="1427"/>
    <cellStyle name="Normal 240 2" xfId="2237"/>
    <cellStyle name="Normal 241" xfId="1428"/>
    <cellStyle name="Normal 241 2" xfId="2238"/>
    <cellStyle name="Normal 242" xfId="1429"/>
    <cellStyle name="Normal 242 2" xfId="2239"/>
    <cellStyle name="Normal 243" xfId="1430"/>
    <cellStyle name="Normal 243 2" xfId="2240"/>
    <cellStyle name="Normal 244" xfId="1431"/>
    <cellStyle name="Normal 244 2" xfId="2241"/>
    <cellStyle name="Normal 245" xfId="1432"/>
    <cellStyle name="Normal 245 2" xfId="2242"/>
    <cellStyle name="Normal 246" xfId="1433"/>
    <cellStyle name="Normal 246 2" xfId="2243"/>
    <cellStyle name="Normal 247" xfId="1434"/>
    <cellStyle name="Normal 247 2" xfId="2244"/>
    <cellStyle name="Normal 248" xfId="1435"/>
    <cellStyle name="Normal 248 2" xfId="2245"/>
    <cellStyle name="Normal 249" xfId="1436"/>
    <cellStyle name="Normal 249 2" xfId="2246"/>
    <cellStyle name="Normal 25" xfId="770"/>
    <cellStyle name="Normal 25 2" xfId="1870"/>
    <cellStyle name="Normal 250" xfId="1437"/>
    <cellStyle name="Normal 250 2" xfId="2247"/>
    <cellStyle name="Normal 251" xfId="1438"/>
    <cellStyle name="Normal 251 2" xfId="2248"/>
    <cellStyle name="Normal 252" xfId="1439"/>
    <cellStyle name="Normal 252 2" xfId="2249"/>
    <cellStyle name="Normal 253" xfId="1440"/>
    <cellStyle name="Normal 253 2" xfId="2250"/>
    <cellStyle name="Normal 254" xfId="1441"/>
    <cellStyle name="Normal 254 2" xfId="2251"/>
    <cellStyle name="Normal 255" xfId="1442"/>
    <cellStyle name="Normal 255 2" xfId="2252"/>
    <cellStyle name="Normal 256" xfId="1443"/>
    <cellStyle name="Normal 256 2" xfId="2253"/>
    <cellStyle name="Normal 257" xfId="1444"/>
    <cellStyle name="Normal 257 2" xfId="2254"/>
    <cellStyle name="Normal 258" xfId="1445"/>
    <cellStyle name="Normal 258 2" xfId="2255"/>
    <cellStyle name="Normal 259" xfId="1446"/>
    <cellStyle name="Normal 259 2" xfId="2256"/>
    <cellStyle name="Normal 26" xfId="771"/>
    <cellStyle name="Normal 26 2" xfId="1871"/>
    <cellStyle name="Normal 260" xfId="1447"/>
    <cellStyle name="Normal 260 2" xfId="2257"/>
    <cellStyle name="Normal 261" xfId="1448"/>
    <cellStyle name="Normal 261 2" xfId="2258"/>
    <cellStyle name="Normal 262" xfId="1449"/>
    <cellStyle name="Normal 262 2" xfId="2259"/>
    <cellStyle name="Normal 263" xfId="1450"/>
    <cellStyle name="Normal 263 2" xfId="2260"/>
    <cellStyle name="Normal 264" xfId="1451"/>
    <cellStyle name="Normal 265" xfId="1452"/>
    <cellStyle name="Normal 265 2" xfId="2261"/>
    <cellStyle name="Normal 266" xfId="1453"/>
    <cellStyle name="Normal 266 2" xfId="2262"/>
    <cellStyle name="Normal 267" xfId="1454"/>
    <cellStyle name="Normal 267 2" xfId="2263"/>
    <cellStyle name="Normal 268" xfId="1455"/>
    <cellStyle name="Normal 268 2" xfId="2264"/>
    <cellStyle name="Normal 269" xfId="1456"/>
    <cellStyle name="Normal 269 2" xfId="2265"/>
    <cellStyle name="Normal 27" xfId="772"/>
    <cellStyle name="Normal 27 2" xfId="1872"/>
    <cellStyle name="Normal 270" xfId="1457"/>
    <cellStyle name="Normal 270 2" xfId="2266"/>
    <cellStyle name="Normal 271" xfId="1458"/>
    <cellStyle name="Normal 271 2" xfId="2267"/>
    <cellStyle name="Normal 272" xfId="1459"/>
    <cellStyle name="Normal 272 2" xfId="2268"/>
    <cellStyle name="Normal 273" xfId="1460"/>
    <cellStyle name="Normal 273 2" xfId="2269"/>
    <cellStyle name="Normal 274" xfId="1461"/>
    <cellStyle name="Normal 274 2" xfId="2270"/>
    <cellStyle name="Normal 275" xfId="1462"/>
    <cellStyle name="Normal 275 2" xfId="2271"/>
    <cellStyle name="Normal 276" xfId="1463"/>
    <cellStyle name="Normal 276 2" xfId="2272"/>
    <cellStyle name="Normal 277" xfId="1464"/>
    <cellStyle name="Normal 277 2" xfId="2273"/>
    <cellStyle name="Normal 278" xfId="1465"/>
    <cellStyle name="Normal 278 2" xfId="2274"/>
    <cellStyle name="Normal 279" xfId="1279"/>
    <cellStyle name="Normal 279 2" xfId="1633"/>
    <cellStyle name="Normal 28" xfId="773"/>
    <cellStyle name="Normal 28 2" xfId="1873"/>
    <cellStyle name="Normal 280" xfId="1543"/>
    <cellStyle name="Normal 281" xfId="1542"/>
    <cellStyle name="Normal 282" xfId="1541"/>
    <cellStyle name="Normal 283" xfId="1540"/>
    <cellStyle name="Normal 284" xfId="1539"/>
    <cellStyle name="Normal 285" xfId="1511"/>
    <cellStyle name="Normal 286" xfId="1503"/>
    <cellStyle name="Normal 287" xfId="1502"/>
    <cellStyle name="Normal 288" xfId="1487"/>
    <cellStyle name="Normal 289" xfId="1486"/>
    <cellStyle name="Normal 29" xfId="774"/>
    <cellStyle name="Normal 29 2" xfId="1874"/>
    <cellStyle name="Normal 290" xfId="1395"/>
    <cellStyle name="Normal 290 2" xfId="2211"/>
    <cellStyle name="Normal 291" xfId="1549"/>
    <cellStyle name="Normal 291 2" xfId="2299"/>
    <cellStyle name="Normal 292" xfId="1394"/>
    <cellStyle name="Normal 293" xfId="1393"/>
    <cellStyle name="Normal 294" xfId="1382"/>
    <cellStyle name="Normal 295" xfId="1381"/>
    <cellStyle name="Normal 296" xfId="1376"/>
    <cellStyle name="Normal 297" xfId="1364"/>
    <cellStyle name="Normal 298" xfId="1345"/>
    <cellStyle name="Normal 299" xfId="1324"/>
    <cellStyle name="Normal 299 2" xfId="2205"/>
    <cellStyle name="Normal 3" xfId="775"/>
    <cellStyle name="Normal 3 2" xfId="776"/>
    <cellStyle name="Normal 3 2 2" xfId="777"/>
    <cellStyle name="Normal 3 2 3" xfId="778"/>
    <cellStyle name="Normal 3 2 4" xfId="779"/>
    <cellStyle name="Normal 3 2 5" xfId="2407"/>
    <cellStyle name="Normal 3 3" xfId="780"/>
    <cellStyle name="Normal 3 3 2" xfId="781"/>
    <cellStyle name="Normal 3 3 2 2" xfId="1466"/>
    <cellStyle name="Normal 3 3 2 3" xfId="1467"/>
    <cellStyle name="Normal 3 3 3" xfId="782"/>
    <cellStyle name="Normal 3 3 3 2" xfId="1876"/>
    <cellStyle name="Normal 3 3 4" xfId="783"/>
    <cellStyle name="Normal 3 3 5" xfId="1875"/>
    <cellStyle name="Normal 3 4" xfId="784"/>
    <cellStyle name="Normal 3 4 2" xfId="785"/>
    <cellStyle name="Normal 3 4 3" xfId="1877"/>
    <cellStyle name="Normal 3 5" xfId="2330"/>
    <cellStyle name="Normal 3 6" xfId="2325"/>
    <cellStyle name="Normal 3 7" xfId="2430"/>
    <cellStyle name="Normal 3_710 CFS; full sustain + full expand (static-like)" xfId="786"/>
    <cellStyle name="Normal 30" xfId="787"/>
    <cellStyle name="Normal 30 2" xfId="1878"/>
    <cellStyle name="Normal 300" xfId="1559"/>
    <cellStyle name="Normal 301" xfId="1558"/>
    <cellStyle name="Normal 302" xfId="1557"/>
    <cellStyle name="Normal 303" xfId="1556"/>
    <cellStyle name="Normal 304" xfId="1555"/>
    <cellStyle name="Normal 305" xfId="1554"/>
    <cellStyle name="Normal 306" xfId="1553"/>
    <cellStyle name="Normal 307" xfId="1552"/>
    <cellStyle name="Normal 308" xfId="1550"/>
    <cellStyle name="Normal 309" xfId="1548"/>
    <cellStyle name="Normal 309 2" xfId="2298"/>
    <cellStyle name="Normal 31" xfId="788"/>
    <cellStyle name="Normal 31 2" xfId="1879"/>
    <cellStyle name="Normal 310" xfId="1562"/>
    <cellStyle name="Normal 311" xfId="1574"/>
    <cellStyle name="Normal 312" xfId="1575"/>
    <cellStyle name="Normal 312 2" xfId="1634"/>
    <cellStyle name="Normal 313" xfId="1576"/>
    <cellStyle name="Normal 313 2" xfId="1635"/>
    <cellStyle name="Normal 314" xfId="1577"/>
    <cellStyle name="Normal 314 2" xfId="1636"/>
    <cellStyle name="Normal 315" xfId="1578"/>
    <cellStyle name="Normal 315 2" xfId="1637"/>
    <cellStyle name="Normal 316" xfId="1563"/>
    <cellStyle name="Normal 316 2" xfId="1638"/>
    <cellStyle name="Normal 317" xfId="1579"/>
    <cellStyle name="Normal 317 2" xfId="1639"/>
    <cellStyle name="Normal 318" xfId="1580"/>
    <cellStyle name="Normal 318 2" xfId="1640"/>
    <cellStyle name="Normal 319" xfId="1581"/>
    <cellStyle name="Normal 319 2" xfId="1641"/>
    <cellStyle name="Normal 32" xfId="789"/>
    <cellStyle name="Normal 32 2" xfId="1880"/>
    <cellStyle name="Normal 320" xfId="1583"/>
    <cellStyle name="Normal 321" xfId="1600"/>
    <cellStyle name="Normal 322" xfId="1603"/>
    <cellStyle name="Normal 322 2" xfId="1642"/>
    <cellStyle name="Normal 323" xfId="1599"/>
    <cellStyle name="Normal 323 2" xfId="1643"/>
    <cellStyle name="Normal 324" xfId="1602"/>
    <cellStyle name="Normal 324 2" xfId="2322"/>
    <cellStyle name="Normal 325" xfId="1604"/>
    <cellStyle name="Normal 325 2" xfId="1645"/>
    <cellStyle name="Normal 326" xfId="1601"/>
    <cellStyle name="Normal 326 2" xfId="1646"/>
    <cellStyle name="Normal 327" xfId="1605"/>
    <cellStyle name="Normal 327 2" xfId="1647"/>
    <cellStyle name="Normal 328" xfId="1606"/>
    <cellStyle name="Normal 328 2" xfId="1648"/>
    <cellStyle name="Normal 329" xfId="1607"/>
    <cellStyle name="Normal 329 2" xfId="1649"/>
    <cellStyle name="Normal 33" xfId="790"/>
    <cellStyle name="Normal 33 2" xfId="1881"/>
    <cellStyle name="Normal 330" xfId="1608"/>
    <cellStyle name="Normal 330 2" xfId="1650"/>
    <cellStyle name="Normal 331" xfId="1609"/>
    <cellStyle name="Normal 331 2" xfId="1651"/>
    <cellStyle name="Normal 332" xfId="1610"/>
    <cellStyle name="Normal 332 2" xfId="1652"/>
    <cellStyle name="Normal 333" xfId="1611"/>
    <cellStyle name="Normal 333 2" xfId="1653"/>
    <cellStyle name="Normal 334" xfId="1612"/>
    <cellStyle name="Normal 334 2" xfId="1654"/>
    <cellStyle name="Normal 335" xfId="1613"/>
    <cellStyle name="Normal 335 2" xfId="2323"/>
    <cellStyle name="Normal 336" xfId="1615"/>
    <cellStyle name="Normal 337" xfId="1617"/>
    <cellStyle name="Normal 338" xfId="1619"/>
    <cellStyle name="Normal 339" xfId="1621"/>
    <cellStyle name="Normal 34" xfId="791"/>
    <cellStyle name="Normal 34 2" xfId="1882"/>
    <cellStyle name="Normal 340" xfId="1623"/>
    <cellStyle name="Normal 341" xfId="1625"/>
    <cellStyle name="Normal 342" xfId="1627"/>
    <cellStyle name="Normal 343" xfId="1628"/>
    <cellStyle name="Normal 344" xfId="1631"/>
    <cellStyle name="Normal 345" xfId="2342"/>
    <cellStyle name="Normal 345 2" xfId="2350"/>
    <cellStyle name="Normal 345 2 2" xfId="2402"/>
    <cellStyle name="Normal 346" xfId="2343"/>
    <cellStyle name="Normal 347" xfId="2404"/>
    <cellStyle name="Normal 35" xfId="792"/>
    <cellStyle name="Normal 35 2" xfId="1883"/>
    <cellStyle name="Normal 36" xfId="793"/>
    <cellStyle name="Normal 36 2" xfId="1884"/>
    <cellStyle name="Normal 37" xfId="794"/>
    <cellStyle name="Normal 37 2" xfId="1885"/>
    <cellStyle name="Normal 38" xfId="795"/>
    <cellStyle name="Normal 38 2" xfId="1886"/>
    <cellStyle name="Normal 39" xfId="796"/>
    <cellStyle name="Normal 39 2" xfId="1887"/>
    <cellStyle name="Normal 4" xfId="797"/>
    <cellStyle name="Normal 4 10" xfId="1469"/>
    <cellStyle name="Normal 4 10 2" xfId="2276"/>
    <cellStyle name="Normal 4 11" xfId="1468"/>
    <cellStyle name="Normal 4 11 2" xfId="2275"/>
    <cellStyle name="Normal 4 12" xfId="2431"/>
    <cellStyle name="Normal 4 2" xfId="798"/>
    <cellStyle name="Normal 4 2 2" xfId="799"/>
    <cellStyle name="Normal 4 2 2 2" xfId="800"/>
    <cellStyle name="Normal 4 2 2 2 2" xfId="1470"/>
    <cellStyle name="Normal 4 2 2 2 3" xfId="1471"/>
    <cellStyle name="Normal 4 2 2 3" xfId="801"/>
    <cellStyle name="Normal 4 2 2 4" xfId="1473"/>
    <cellStyle name="Normal 4 2 3" xfId="802"/>
    <cellStyle name="Normal 4 2 3 2" xfId="1474"/>
    <cellStyle name="Normal 4 2 3 3" xfId="1475"/>
    <cellStyle name="Normal 4 2 4" xfId="803"/>
    <cellStyle name="Normal 4 2 5" xfId="1476"/>
    <cellStyle name="Normal 4 2_Federal Interest Calculation Su" xfId="804"/>
    <cellStyle name="Normal 4 3" xfId="805"/>
    <cellStyle name="Normal 4 3 2" xfId="806"/>
    <cellStyle name="Normal 4 3 2 2" xfId="1477"/>
    <cellStyle name="Normal 4 3 2 3" xfId="1478"/>
    <cellStyle name="Normal 4 3 3" xfId="807"/>
    <cellStyle name="Normal 4 3 4" xfId="808"/>
    <cellStyle name="Normal 4 3 5" xfId="1479"/>
    <cellStyle name="Normal 4 3 6" xfId="1480"/>
    <cellStyle name="Normal 4 4" xfId="809"/>
    <cellStyle name="Normal 4 4 2" xfId="810"/>
    <cellStyle name="Normal 4 4 2 2" xfId="1481"/>
    <cellStyle name="Normal 4 4 2 3" xfId="1482"/>
    <cellStyle name="Normal 4 4 3" xfId="811"/>
    <cellStyle name="Normal 4 4 3 2" xfId="1888"/>
    <cellStyle name="Normal 4 4 4" xfId="1483"/>
    <cellStyle name="Normal 4 5" xfId="812"/>
    <cellStyle name="Normal 4 5 2" xfId="1889"/>
    <cellStyle name="Normal 4 6" xfId="813"/>
    <cellStyle name="Normal 4 6 2" xfId="814"/>
    <cellStyle name="Normal 4 6 3" xfId="1890"/>
    <cellStyle name="Normal 4 7" xfId="815"/>
    <cellStyle name="Normal 4 8" xfId="1484"/>
    <cellStyle name="Normal 4 8 2" xfId="2277"/>
    <cellStyle name="Normal 4 9" xfId="1485"/>
    <cellStyle name="Normal 4 9 2" xfId="2278"/>
    <cellStyle name="Normal 4_710 CFS; full sustain + full expand (static-like)" xfId="816"/>
    <cellStyle name="Normal 40" xfId="817"/>
    <cellStyle name="Normal 40 2" xfId="1891"/>
    <cellStyle name="Normal 409" xfId="2406"/>
    <cellStyle name="Normal 41" xfId="818"/>
    <cellStyle name="Normal 41 2" xfId="1892"/>
    <cellStyle name="Normal 419" xfId="2432"/>
    <cellStyle name="Normal 42" xfId="819"/>
    <cellStyle name="Normal 42 2" xfId="1893"/>
    <cellStyle name="Normal 43" xfId="820"/>
    <cellStyle name="Normal 43 2" xfId="1894"/>
    <cellStyle name="Normal 44" xfId="821"/>
    <cellStyle name="Normal 44 2" xfId="1895"/>
    <cellStyle name="Normal 45" xfId="822"/>
    <cellStyle name="Normal 45 2" xfId="1896"/>
    <cellStyle name="Normal 46" xfId="823"/>
    <cellStyle name="Normal 46 2" xfId="1897"/>
    <cellStyle name="Normal 47" xfId="824"/>
    <cellStyle name="Normal 47 2" xfId="1898"/>
    <cellStyle name="Normal 48" xfId="825"/>
    <cellStyle name="Normal 48 2" xfId="1899"/>
    <cellStyle name="Normal 49" xfId="826"/>
    <cellStyle name="Normal 49 2" xfId="827"/>
    <cellStyle name="Normal 49 3" xfId="828"/>
    <cellStyle name="Normal 49 3 2" xfId="1488"/>
    <cellStyle name="Normal 49 3 3" xfId="1489"/>
    <cellStyle name="Normal 49 4" xfId="829"/>
    <cellStyle name="Normal 5" xfId="830"/>
    <cellStyle name="Normal 5 2" xfId="831"/>
    <cellStyle name="Normal 5 2 2" xfId="832"/>
    <cellStyle name="Normal 5 2 2 2" xfId="1490"/>
    <cellStyle name="Normal 5 2 2 3" xfId="1901"/>
    <cellStyle name="Normal 5 2 3" xfId="1491"/>
    <cellStyle name="Normal 5 3" xfId="833"/>
    <cellStyle name="Normal 5 3 2" xfId="1902"/>
    <cellStyle name="Normal 5 4" xfId="834"/>
    <cellStyle name="Normal 5 5" xfId="1900"/>
    <cellStyle name="Normal 50" xfId="835"/>
    <cellStyle name="Normal 50 2" xfId="836"/>
    <cellStyle name="Normal 50 2 2" xfId="1904"/>
    <cellStyle name="Normal 50 3" xfId="837"/>
    <cellStyle name="Normal 50 3 2" xfId="1905"/>
    <cellStyle name="Normal 50 4" xfId="1903"/>
    <cellStyle name="Normal 51" xfId="838"/>
    <cellStyle name="Normal 51 2" xfId="839"/>
    <cellStyle name="Normal 51 2 2" xfId="1907"/>
    <cellStyle name="Normal 51 3" xfId="840"/>
    <cellStyle name="Normal 51 4" xfId="1906"/>
    <cellStyle name="Normal 52" xfId="841"/>
    <cellStyle name="Normal 52 2" xfId="842"/>
    <cellStyle name="Normal 52 2 2" xfId="1909"/>
    <cellStyle name="Normal 52 3" xfId="843"/>
    <cellStyle name="Normal 52 4" xfId="1908"/>
    <cellStyle name="Normal 53" xfId="844"/>
    <cellStyle name="Normal 53 2" xfId="845"/>
    <cellStyle name="Normal 53 2 2" xfId="1911"/>
    <cellStyle name="Normal 53 3" xfId="1910"/>
    <cellStyle name="Normal 54" xfId="846"/>
    <cellStyle name="Normal 54 2" xfId="1912"/>
    <cellStyle name="Normal 55" xfId="847"/>
    <cellStyle name="Normal 55 2" xfId="848"/>
    <cellStyle name="Normal 55 2 2" xfId="1914"/>
    <cellStyle name="Normal 55 3" xfId="1913"/>
    <cellStyle name="Normal 56" xfId="849"/>
    <cellStyle name="Normal 56 2" xfId="1915"/>
    <cellStyle name="Normal 57" xfId="850"/>
    <cellStyle name="Normal 57 2" xfId="1916"/>
    <cellStyle name="Normal 58" xfId="851"/>
    <cellStyle name="Normal 58 2" xfId="1917"/>
    <cellStyle name="Normal 59" xfId="852"/>
    <cellStyle name="Normal 59 2" xfId="1918"/>
    <cellStyle name="Normal 6" xfId="853"/>
    <cellStyle name="Normal 6 2" xfId="854"/>
    <cellStyle name="Normal 6 2 2" xfId="1492"/>
    <cellStyle name="Normal 6 2 3" xfId="1493"/>
    <cellStyle name="Normal 6 3" xfId="855"/>
    <cellStyle name="Normal 6 3 2" xfId="1920"/>
    <cellStyle name="Normal 6 4" xfId="856"/>
    <cellStyle name="Normal 6 5" xfId="1919"/>
    <cellStyle name="Normal 60" xfId="857"/>
    <cellStyle name="Normal 60 2" xfId="858"/>
    <cellStyle name="Normal 60 2 2" xfId="1922"/>
    <cellStyle name="Normal 60 3" xfId="1921"/>
    <cellStyle name="Normal 61" xfId="859"/>
    <cellStyle name="Normal 61 2" xfId="1923"/>
    <cellStyle name="Normal 62" xfId="860"/>
    <cellStyle name="Normal 62 2" xfId="1924"/>
    <cellStyle name="Normal 63" xfId="861"/>
    <cellStyle name="Normal 63 2" xfId="1925"/>
    <cellStyle name="Normal 64" xfId="862"/>
    <cellStyle name="Normal 64 2" xfId="1926"/>
    <cellStyle name="Normal 65" xfId="863"/>
    <cellStyle name="Normal 65 2" xfId="1927"/>
    <cellStyle name="Normal 66" xfId="864"/>
    <cellStyle name="Normal 66 2" xfId="1928"/>
    <cellStyle name="Normal 67" xfId="865"/>
    <cellStyle name="Normal 67 2" xfId="1929"/>
    <cellStyle name="Normal 68" xfId="866"/>
    <cellStyle name="Normal 68 2" xfId="1930"/>
    <cellStyle name="Normal 69" xfId="867"/>
    <cellStyle name="Normal 69 2" xfId="1931"/>
    <cellStyle name="Normal 7" xfId="868"/>
    <cellStyle name="Normal 7 2" xfId="869"/>
    <cellStyle name="Normal 7 2 2" xfId="1494"/>
    <cellStyle name="Normal 7 2 3" xfId="1495"/>
    <cellStyle name="Normal 7 3" xfId="870"/>
    <cellStyle name="Normal 7 3 2" xfId="1933"/>
    <cellStyle name="Normal 7 4" xfId="871"/>
    <cellStyle name="Normal 7 5" xfId="1932"/>
    <cellStyle name="Normal 70" xfId="872"/>
    <cellStyle name="Normal 70 2" xfId="1934"/>
    <cellStyle name="Normal 71" xfId="873"/>
    <cellStyle name="Normal 71 2" xfId="1935"/>
    <cellStyle name="Normal 72" xfId="874"/>
    <cellStyle name="Normal 72 2" xfId="1936"/>
    <cellStyle name="Normal 73" xfId="875"/>
    <cellStyle name="Normal 73 2" xfId="876"/>
    <cellStyle name="Normal 73 2 2" xfId="1938"/>
    <cellStyle name="Normal 73 3" xfId="1937"/>
    <cellStyle name="Normal 74" xfId="877"/>
    <cellStyle name="Normal 74 2" xfId="878"/>
    <cellStyle name="Normal 74 2 2" xfId="1940"/>
    <cellStyle name="Normal 74 3" xfId="1939"/>
    <cellStyle name="Normal 75" xfId="879"/>
    <cellStyle name="Normal 75 2" xfId="880"/>
    <cellStyle name="Normal 75 2 2" xfId="1942"/>
    <cellStyle name="Normal 75 3" xfId="881"/>
    <cellStyle name="Normal 75 3 2" xfId="1943"/>
    <cellStyle name="Normal 75 4" xfId="1941"/>
    <cellStyle name="Normal 76" xfId="882"/>
    <cellStyle name="Normal 76 2" xfId="883"/>
    <cellStyle name="Normal 76 2 2" xfId="1945"/>
    <cellStyle name="Normal 76 3" xfId="884"/>
    <cellStyle name="Normal 76 3 2" xfId="1946"/>
    <cellStyle name="Normal 76 4" xfId="1944"/>
    <cellStyle name="Normal 77" xfId="885"/>
    <cellStyle name="Normal 77 2" xfId="886"/>
    <cellStyle name="Normal 77 2 2" xfId="1948"/>
    <cellStyle name="Normal 77 3" xfId="887"/>
    <cellStyle name="Normal 77 3 2" xfId="1949"/>
    <cellStyle name="Normal 77 4" xfId="1947"/>
    <cellStyle name="Normal 78" xfId="888"/>
    <cellStyle name="Normal 78 2" xfId="889"/>
    <cellStyle name="Normal 78 2 2" xfId="1951"/>
    <cellStyle name="Normal 78 3" xfId="1950"/>
    <cellStyle name="Normal 79" xfId="890"/>
    <cellStyle name="Normal 79 2" xfId="1952"/>
    <cellStyle name="Normal 8" xfId="891"/>
    <cellStyle name="Normal 8 2" xfId="892"/>
    <cellStyle name="Normal 8 2 2" xfId="1496"/>
    <cellStyle name="Normal 8 2 3" xfId="1497"/>
    <cellStyle name="Normal 8 3" xfId="893"/>
    <cellStyle name="Normal 8 3 2" xfId="1954"/>
    <cellStyle name="Normal 8 4" xfId="894"/>
    <cellStyle name="Normal 8 5" xfId="1953"/>
    <cellStyle name="Normal 80" xfId="895"/>
    <cellStyle name="Normal 80 2" xfId="1955"/>
    <cellStyle name="Normal 81" xfId="896"/>
    <cellStyle name="Normal 81 2" xfId="1956"/>
    <cellStyle name="Normal 82" xfId="897"/>
    <cellStyle name="Normal 82 2" xfId="1957"/>
    <cellStyle name="Normal 83" xfId="898"/>
    <cellStyle name="Normal 83 2" xfId="1958"/>
    <cellStyle name="Normal 84" xfId="899"/>
    <cellStyle name="Normal 84 2" xfId="1959"/>
    <cellStyle name="Normal 85" xfId="900"/>
    <cellStyle name="Normal 85 2" xfId="1960"/>
    <cellStyle name="Normal 86" xfId="901"/>
    <cellStyle name="Normal 86 2" xfId="1961"/>
    <cellStyle name="Normal 87" xfId="902"/>
    <cellStyle name="Normal 87 2" xfId="1962"/>
    <cellStyle name="Normal 88" xfId="903"/>
    <cellStyle name="Normal 88 2" xfId="1963"/>
    <cellStyle name="Normal 89" xfId="904"/>
    <cellStyle name="Normal 89 2" xfId="1964"/>
    <cellStyle name="Normal 9" xfId="905"/>
    <cellStyle name="Normal 9 2" xfId="906"/>
    <cellStyle name="Normal 9 2 2" xfId="1966"/>
    <cellStyle name="Normal 9 3" xfId="907"/>
    <cellStyle name="Normal 9 4" xfId="1965"/>
    <cellStyle name="Normal 90" xfId="908"/>
    <cellStyle name="Normal 90 2" xfId="1967"/>
    <cellStyle name="Normal 91" xfId="909"/>
    <cellStyle name="Normal 91 2" xfId="1968"/>
    <cellStyle name="Normal 92" xfId="910"/>
    <cellStyle name="Normal 92 2" xfId="1969"/>
    <cellStyle name="Normal 93" xfId="911"/>
    <cellStyle name="Normal 93 2" xfId="1970"/>
    <cellStyle name="Normal 94" xfId="912"/>
    <cellStyle name="Normal 94 2" xfId="1971"/>
    <cellStyle name="Normal 95" xfId="913"/>
    <cellStyle name="Normal 95 2" xfId="1972"/>
    <cellStyle name="Normal 96" xfId="914"/>
    <cellStyle name="Normal 96 2" xfId="1973"/>
    <cellStyle name="Normal 97" xfId="915"/>
    <cellStyle name="Normal 97 2" xfId="1974"/>
    <cellStyle name="Normal 98" xfId="916"/>
    <cellStyle name="Normal 98 2" xfId="1975"/>
    <cellStyle name="Normal 99" xfId="917"/>
    <cellStyle name="Normal 99 2" xfId="1976"/>
    <cellStyle name="Normal_BW051605_FY2005Q3a" xfId="2405"/>
    <cellStyle name="Note 2" xfId="918"/>
    <cellStyle name="Note 2 2" xfId="919"/>
    <cellStyle name="Note 2 2 2" xfId="1978"/>
    <cellStyle name="Note 2 3" xfId="920"/>
    <cellStyle name="Note 2 3 2" xfId="1979"/>
    <cellStyle name="Note 2 4" xfId="921"/>
    <cellStyle name="Note 2 4 2" xfId="1980"/>
    <cellStyle name="Note 2 5" xfId="1977"/>
    <cellStyle name="Note 2_QC" xfId="922"/>
    <cellStyle name="Note 3" xfId="923"/>
    <cellStyle name="Note 3 2" xfId="924"/>
    <cellStyle name="Note 3 2 2" xfId="1498"/>
    <cellStyle name="Note 3 2 3" xfId="1499"/>
    <cellStyle name="Note 3 3" xfId="1981"/>
    <cellStyle name="Note 4" xfId="1500"/>
    <cellStyle name="Note 4 2" xfId="2279"/>
    <cellStyle name="Output 2" xfId="925"/>
    <cellStyle name="Output 2 2" xfId="926"/>
    <cellStyle name="Output 2 2 2" xfId="927"/>
    <cellStyle name="Output 2 2 3" xfId="928"/>
    <cellStyle name="Output 2 2 4" xfId="929"/>
    <cellStyle name="Output 2 3" xfId="930"/>
    <cellStyle name="Output 2 4" xfId="931"/>
    <cellStyle name="Output 2 5" xfId="932"/>
    <cellStyle name="Output 2_QC" xfId="933"/>
    <cellStyle name="Output 3" xfId="934"/>
    <cellStyle name="Output 4" xfId="1501"/>
    <cellStyle name="Page Number" xfId="935"/>
    <cellStyle name="Percen - Style2" xfId="936"/>
    <cellStyle name="Percent" xfId="1582" builtinId="5"/>
    <cellStyle name="Percent [2]" xfId="938"/>
    <cellStyle name="Percent [2] 2" xfId="1982"/>
    <cellStyle name="Percent 10" xfId="939"/>
    <cellStyle name="Percent 10 2" xfId="940"/>
    <cellStyle name="Percent 10 2 2" xfId="1984"/>
    <cellStyle name="Percent 10 3" xfId="941"/>
    <cellStyle name="Percent 10 3 2" xfId="1985"/>
    <cellStyle name="Percent 10 4" xfId="1983"/>
    <cellStyle name="Percent 100" xfId="942"/>
    <cellStyle name="Percent 100 2" xfId="943"/>
    <cellStyle name="Percent 100 2 2" xfId="1987"/>
    <cellStyle name="Percent 100 3" xfId="1986"/>
    <cellStyle name="Percent 101" xfId="944"/>
    <cellStyle name="Percent 101 2" xfId="945"/>
    <cellStyle name="Percent 101 2 2" xfId="1989"/>
    <cellStyle name="Percent 101 3" xfId="1988"/>
    <cellStyle name="Percent 102" xfId="946"/>
    <cellStyle name="Percent 102 2" xfId="947"/>
    <cellStyle name="Percent 102 2 2" xfId="1991"/>
    <cellStyle name="Percent 102 3" xfId="1990"/>
    <cellStyle name="Percent 103" xfId="948"/>
    <cellStyle name="Percent 103 2" xfId="949"/>
    <cellStyle name="Percent 103 2 2" xfId="1993"/>
    <cellStyle name="Percent 103 3" xfId="1992"/>
    <cellStyle name="Percent 104" xfId="950"/>
    <cellStyle name="Percent 104 2" xfId="951"/>
    <cellStyle name="Percent 104 2 2" xfId="1995"/>
    <cellStyle name="Percent 104 3" xfId="1994"/>
    <cellStyle name="Percent 105" xfId="952"/>
    <cellStyle name="Percent 105 2" xfId="953"/>
    <cellStyle name="Percent 105 2 2" xfId="1997"/>
    <cellStyle name="Percent 105 3" xfId="1996"/>
    <cellStyle name="Percent 106" xfId="954"/>
    <cellStyle name="Percent 106 2" xfId="1998"/>
    <cellStyle name="Percent 107" xfId="955"/>
    <cellStyle name="Percent 107 2" xfId="1999"/>
    <cellStyle name="Percent 108" xfId="956"/>
    <cellStyle name="Percent 108 2" xfId="2000"/>
    <cellStyle name="Percent 109" xfId="957"/>
    <cellStyle name="Percent 109 2" xfId="2001"/>
    <cellStyle name="Percent 11" xfId="958"/>
    <cellStyle name="Percent 11 2" xfId="959"/>
    <cellStyle name="Percent 11 2 2" xfId="2003"/>
    <cellStyle name="Percent 11 3" xfId="960"/>
    <cellStyle name="Percent 11 3 2" xfId="2004"/>
    <cellStyle name="Percent 11 4" xfId="2002"/>
    <cellStyle name="Percent 110" xfId="961"/>
    <cellStyle name="Percent 110 2" xfId="2005"/>
    <cellStyle name="Percent 111" xfId="962"/>
    <cellStyle name="Percent 111 2" xfId="2006"/>
    <cellStyle name="Percent 112" xfId="963"/>
    <cellStyle name="Percent 112 2" xfId="2007"/>
    <cellStyle name="Percent 113" xfId="964"/>
    <cellStyle name="Percent 113 2" xfId="2008"/>
    <cellStyle name="Percent 114" xfId="965"/>
    <cellStyle name="Percent 115" xfId="966"/>
    <cellStyle name="Percent 116" xfId="967"/>
    <cellStyle name="Percent 116 2" xfId="2009"/>
    <cellStyle name="Percent 117" xfId="968"/>
    <cellStyle name="Percent 117 2" xfId="2010"/>
    <cellStyle name="Percent 118" xfId="969"/>
    <cellStyle name="Percent 118 2" xfId="2011"/>
    <cellStyle name="Percent 119" xfId="970"/>
    <cellStyle name="Percent 119 2" xfId="2012"/>
    <cellStyle name="Percent 12" xfId="971"/>
    <cellStyle name="Percent 12 2" xfId="2013"/>
    <cellStyle name="Percent 120" xfId="972"/>
    <cellStyle name="Percent 120 2" xfId="2014"/>
    <cellStyle name="Percent 121" xfId="973"/>
    <cellStyle name="Percent 121 2" xfId="2015"/>
    <cellStyle name="Percent 122" xfId="974"/>
    <cellStyle name="Percent 122 2" xfId="2016"/>
    <cellStyle name="Percent 123" xfId="975"/>
    <cellStyle name="Percent 123 2" xfId="2017"/>
    <cellStyle name="Percent 124" xfId="976"/>
    <cellStyle name="Percent 124 2" xfId="2018"/>
    <cellStyle name="Percent 125" xfId="977"/>
    <cellStyle name="Percent 125 2" xfId="2019"/>
    <cellStyle name="Percent 126" xfId="978"/>
    <cellStyle name="Percent 126 2" xfId="2020"/>
    <cellStyle name="Percent 127" xfId="979"/>
    <cellStyle name="Percent 127 2" xfId="2021"/>
    <cellStyle name="Percent 128" xfId="980"/>
    <cellStyle name="Percent 128 2" xfId="2022"/>
    <cellStyle name="Percent 129" xfId="981"/>
    <cellStyle name="Percent 129 2" xfId="2023"/>
    <cellStyle name="Percent 13" xfId="982"/>
    <cellStyle name="Percent 13 2" xfId="983"/>
    <cellStyle name="Percent 13 2 2" xfId="2025"/>
    <cellStyle name="Percent 13 3" xfId="2024"/>
    <cellStyle name="Percent 130" xfId="984"/>
    <cellStyle name="Percent 130 2" xfId="2026"/>
    <cellStyle name="Percent 131" xfId="985"/>
    <cellStyle name="Percent 131 2" xfId="2027"/>
    <cellStyle name="Percent 132" xfId="986"/>
    <cellStyle name="Percent 132 2" xfId="987"/>
    <cellStyle name="Percent 132 2 2" xfId="2029"/>
    <cellStyle name="Percent 132 3" xfId="2028"/>
    <cellStyle name="Percent 133" xfId="988"/>
    <cellStyle name="Percent 133 2" xfId="989"/>
    <cellStyle name="Percent 133 2 2" xfId="2031"/>
    <cellStyle name="Percent 133 3" xfId="2030"/>
    <cellStyle name="Percent 134" xfId="990"/>
    <cellStyle name="Percent 134 2" xfId="991"/>
    <cellStyle name="Percent 134 2 2" xfId="2033"/>
    <cellStyle name="Percent 134 3" xfId="2032"/>
    <cellStyle name="Percent 135" xfId="992"/>
    <cellStyle name="Percent 135 2" xfId="993"/>
    <cellStyle name="Percent 135 3" xfId="994"/>
    <cellStyle name="Percent 135 3 2" xfId="1504"/>
    <cellStyle name="Percent 135 3 3" xfId="1505"/>
    <cellStyle name="Percent 136" xfId="995"/>
    <cellStyle name="Percent 136 2" xfId="2034"/>
    <cellStyle name="Percent 137" xfId="996"/>
    <cellStyle name="Percent 137 2" xfId="2035"/>
    <cellStyle name="Percent 138" xfId="997"/>
    <cellStyle name="Percent 138 2" xfId="2036"/>
    <cellStyle name="Percent 139" xfId="998"/>
    <cellStyle name="Percent 139 2" xfId="2037"/>
    <cellStyle name="Percent 14" xfId="999"/>
    <cellStyle name="Percent 14 2" xfId="2038"/>
    <cellStyle name="Percent 140" xfId="1000"/>
    <cellStyle name="Percent 140 2" xfId="2039"/>
    <cellStyle name="Percent 141" xfId="1001"/>
    <cellStyle name="Percent 141 2" xfId="2040"/>
    <cellStyle name="Percent 142" xfId="1002"/>
    <cellStyle name="Percent 143" xfId="1003"/>
    <cellStyle name="Percent 144" xfId="1004"/>
    <cellStyle name="Percent 145" xfId="1005"/>
    <cellStyle name="Percent 145 2" xfId="1006"/>
    <cellStyle name="Percent 145 2 2" xfId="1007"/>
    <cellStyle name="Percent 145 3" xfId="1008"/>
    <cellStyle name="Percent 145 3 2" xfId="2042"/>
    <cellStyle name="Percent 145 4" xfId="1009"/>
    <cellStyle name="Percent 145 4 2" xfId="1506"/>
    <cellStyle name="Percent 145 4 3" xfId="1507"/>
    <cellStyle name="Percent 145 5" xfId="2041"/>
    <cellStyle name="Percent 146" xfId="1010"/>
    <cellStyle name="Percent 146 2" xfId="2043"/>
    <cellStyle name="Percent 147" xfId="1011"/>
    <cellStyle name="Percent 147 2" xfId="1012"/>
    <cellStyle name="Percent 148" xfId="1013"/>
    <cellStyle name="Percent 148 2" xfId="1014"/>
    <cellStyle name="Percent 149" xfId="1015"/>
    <cellStyle name="Percent 149 2" xfId="1016"/>
    <cellStyle name="Percent 15" xfId="1017"/>
    <cellStyle name="Percent 15 2" xfId="2044"/>
    <cellStyle name="Percent 150" xfId="1018"/>
    <cellStyle name="Percent 150 2" xfId="1019"/>
    <cellStyle name="Percent 151" xfId="1020"/>
    <cellStyle name="Percent 151 2" xfId="2045"/>
    <cellStyle name="Percent 152" xfId="1021"/>
    <cellStyle name="Percent 152 2" xfId="2046"/>
    <cellStyle name="Percent 153" xfId="1022"/>
    <cellStyle name="Percent 153 2" xfId="2047"/>
    <cellStyle name="Percent 154" xfId="1023"/>
    <cellStyle name="Percent 154 2" xfId="2048"/>
    <cellStyle name="Percent 155" xfId="1024"/>
    <cellStyle name="Percent 155 2" xfId="2049"/>
    <cellStyle name="Percent 156" xfId="1025"/>
    <cellStyle name="Percent 156 2" xfId="2050"/>
    <cellStyle name="Percent 157" xfId="1026"/>
    <cellStyle name="Percent 157 2" xfId="2051"/>
    <cellStyle name="Percent 158" xfId="1027"/>
    <cellStyle name="Percent 158 2" xfId="2052"/>
    <cellStyle name="Percent 159" xfId="1028"/>
    <cellStyle name="Percent 159 2" xfId="2053"/>
    <cellStyle name="Percent 16" xfId="1029"/>
    <cellStyle name="Percent 16 2" xfId="2054"/>
    <cellStyle name="Percent 160" xfId="1030"/>
    <cellStyle name="Percent 160 2" xfId="2055"/>
    <cellStyle name="Percent 161" xfId="1031"/>
    <cellStyle name="Percent 161 2" xfId="2056"/>
    <cellStyle name="Percent 162" xfId="1032"/>
    <cellStyle name="Percent 162 2" xfId="2057"/>
    <cellStyle name="Percent 163" xfId="1033"/>
    <cellStyle name="Percent 164" xfId="1034"/>
    <cellStyle name="Percent 164 2" xfId="2058"/>
    <cellStyle name="Percent 165" xfId="1035"/>
    <cellStyle name="Percent 166" xfId="1036"/>
    <cellStyle name="Percent 166 2" xfId="1508"/>
    <cellStyle name="Percent 166 2 2" xfId="2280"/>
    <cellStyle name="Percent 166 3" xfId="2059"/>
    <cellStyle name="Percent 167" xfId="1037"/>
    <cellStyle name="Percent 167 2" xfId="2060"/>
    <cellStyle name="Percent 168" xfId="1038"/>
    <cellStyle name="Percent 168 2" xfId="1509"/>
    <cellStyle name="Percent 168 2 2" xfId="2281"/>
    <cellStyle name="Percent 168 3" xfId="2061"/>
    <cellStyle name="Percent 169" xfId="1039"/>
    <cellStyle name="Percent 169 2" xfId="1510"/>
    <cellStyle name="Percent 169 2 2" xfId="2282"/>
    <cellStyle name="Percent 169 3" xfId="2062"/>
    <cellStyle name="Percent 17" xfId="1040"/>
    <cellStyle name="Percent 17 2" xfId="2063"/>
    <cellStyle name="Percent 170" xfId="1041"/>
    <cellStyle name="Percent 170 2" xfId="2064"/>
    <cellStyle name="Percent 171" xfId="1042"/>
    <cellStyle name="Percent 171 2" xfId="2065"/>
    <cellStyle name="Percent 172" xfId="1043"/>
    <cellStyle name="Percent 172 2" xfId="2066"/>
    <cellStyle name="Percent 173" xfId="1044"/>
    <cellStyle name="Percent 173 2" xfId="2067"/>
    <cellStyle name="Percent 174" xfId="1045"/>
    <cellStyle name="Percent 174 2" xfId="2068"/>
    <cellStyle name="Percent 175" xfId="1046"/>
    <cellStyle name="Percent 175 2" xfId="2069"/>
    <cellStyle name="Percent 176" xfId="1047"/>
    <cellStyle name="Percent 176 2" xfId="2070"/>
    <cellStyle name="Percent 177" xfId="1048"/>
    <cellStyle name="Percent 177 2" xfId="2071"/>
    <cellStyle name="Percent 178" xfId="937"/>
    <cellStyle name="Percent 178 2" xfId="1512"/>
    <cellStyle name="Percent 178 2 2" xfId="2283"/>
    <cellStyle name="Percent 179" xfId="1472"/>
    <cellStyle name="Percent 179 2" xfId="1513"/>
    <cellStyle name="Percent 179 2 2" xfId="2284"/>
    <cellStyle name="Percent 18" xfId="1049"/>
    <cellStyle name="Percent 18 2" xfId="1050"/>
    <cellStyle name="Percent 18 3" xfId="1051"/>
    <cellStyle name="Percent 18 3 2" xfId="1052"/>
    <cellStyle name="Percent 18 3 3" xfId="1053"/>
    <cellStyle name="Percent 18 3 3 2" xfId="1514"/>
    <cellStyle name="Percent 18 3 3 3" xfId="1515"/>
    <cellStyle name="Percent 18 4" xfId="1054"/>
    <cellStyle name="Percent 180" xfId="1310"/>
    <cellStyle name="Percent 180 2" xfId="1516"/>
    <cellStyle name="Percent 180 2 2" xfId="2285"/>
    <cellStyle name="Percent 181" xfId="1517"/>
    <cellStyle name="Percent 181 2" xfId="2286"/>
    <cellStyle name="Percent 182" xfId="1518"/>
    <cellStyle name="Percent 182 2" xfId="2287"/>
    <cellStyle name="Percent 183" xfId="1519"/>
    <cellStyle name="Percent 184" xfId="1520"/>
    <cellStyle name="Percent 184 2" xfId="2288"/>
    <cellStyle name="Percent 185" xfId="1521"/>
    <cellStyle name="Percent 185 2" xfId="2289"/>
    <cellStyle name="Percent 186" xfId="1522"/>
    <cellStyle name="Percent 186 2" xfId="2290"/>
    <cellStyle name="Percent 187" xfId="1523"/>
    <cellStyle name="Percent 187 2" xfId="2291"/>
    <cellStyle name="Percent 188" xfId="1524"/>
    <cellStyle name="Percent 188 2" xfId="2292"/>
    <cellStyle name="Percent 189" xfId="1525"/>
    <cellStyle name="Percent 189 2" xfId="2293"/>
    <cellStyle name="Percent 19" xfId="1055"/>
    <cellStyle name="Percent 19 2" xfId="2072"/>
    <cellStyle name="Percent 190" xfId="1526"/>
    <cellStyle name="Percent 190 2" xfId="2294"/>
    <cellStyle name="Percent 191" xfId="1527"/>
    <cellStyle name="Percent 191 2" xfId="2295"/>
    <cellStyle name="Percent 192" xfId="1528"/>
    <cellStyle name="Percent 192 2" xfId="2296"/>
    <cellStyle name="Percent 193" xfId="1547"/>
    <cellStyle name="Percent 193 2" xfId="2297"/>
    <cellStyle name="Percent 194" xfId="1331"/>
    <cellStyle name="Percent 194 2" xfId="2207"/>
    <cellStyle name="Percent 195" xfId="1551"/>
    <cellStyle name="Percent 195 2" xfId="2300"/>
    <cellStyle name="Percent 196" xfId="1569"/>
    <cellStyle name="Percent 197" xfId="1566"/>
    <cellStyle name="Percent 198" xfId="1570"/>
    <cellStyle name="Percent 198 2" xfId="2305"/>
    <cellStyle name="Percent 199" xfId="1565"/>
    <cellStyle name="Percent 199 2" xfId="2302"/>
    <cellStyle name="Percent 2" xfId="1056"/>
    <cellStyle name="Percent 2 2" xfId="1057"/>
    <cellStyle name="Percent 2 2 2" xfId="1058"/>
    <cellStyle name="Percent 2 2 2 2" xfId="1059"/>
    <cellStyle name="Percent 2 2 2 2 2" xfId="1060"/>
    <cellStyle name="Percent 2 2 2 2 3" xfId="1061"/>
    <cellStyle name="Percent 2 2 2 2 3 2" xfId="1529"/>
    <cellStyle name="Percent 2 2 2 2 3 3" xfId="1530"/>
    <cellStyle name="Percent 2 2 2 3" xfId="1062"/>
    <cellStyle name="Percent 2 2 2 4" xfId="1063"/>
    <cellStyle name="Percent 2 2 2 4 2" xfId="1531"/>
    <cellStyle name="Percent 2 2 2 4 3" xfId="1532"/>
    <cellStyle name="Percent 2 2 2 5" xfId="1064"/>
    <cellStyle name="Percent 2 2 2 5 2" xfId="1533"/>
    <cellStyle name="Percent 2 2 3" xfId="1065"/>
    <cellStyle name="Percent 2 2 3 2" xfId="1066"/>
    <cellStyle name="Percent 2 2 4" xfId="1067"/>
    <cellStyle name="Percent 2 2 4 2" xfId="1068"/>
    <cellStyle name="Percent 2 2 5" xfId="1069"/>
    <cellStyle name="Percent 2 2 5 2" xfId="1070"/>
    <cellStyle name="Percent 2 2 5 3" xfId="1071"/>
    <cellStyle name="Percent 2 2 5 3 2" xfId="1534"/>
    <cellStyle name="Percent 2 2 5 3 3" xfId="1535"/>
    <cellStyle name="Percent 2 2 6" xfId="1072"/>
    <cellStyle name="Percent 2 2 7" xfId="2382"/>
    <cellStyle name="Percent 2 3" xfId="1073"/>
    <cellStyle name="Percent 2 3 2" xfId="2074"/>
    <cellStyle name="Percent 2 4" xfId="2073"/>
    <cellStyle name="Percent 2 5" xfId="2433"/>
    <cellStyle name="Percent 2 6" xfId="2434"/>
    <cellStyle name="Percent 2 6 2" xfId="2435"/>
    <cellStyle name="Percent 20" xfId="1074"/>
    <cellStyle name="Percent 20 2" xfId="1075"/>
    <cellStyle name="Percent 20 3" xfId="1076"/>
    <cellStyle name="Percent 20 3 2" xfId="1077"/>
    <cellStyle name="Percent 20 3 3" xfId="1078"/>
    <cellStyle name="Percent 20 3 3 2" xfId="1536"/>
    <cellStyle name="Percent 20 3 3 3" xfId="1537"/>
    <cellStyle name="Percent 20 4" xfId="1079"/>
    <cellStyle name="Percent 200" xfId="1571"/>
    <cellStyle name="Percent 200 2" xfId="2306"/>
    <cellStyle name="Percent 201" xfId="1564"/>
    <cellStyle name="Percent 201 2" xfId="2301"/>
    <cellStyle name="Percent 202" xfId="1572"/>
    <cellStyle name="Percent 202 2" xfId="2307"/>
    <cellStyle name="Percent 203" xfId="1568"/>
    <cellStyle name="Percent 203 2" xfId="2304"/>
    <cellStyle name="Percent 204" xfId="1573"/>
    <cellStyle name="Percent 204 2" xfId="2308"/>
    <cellStyle name="Percent 205" xfId="1567"/>
    <cellStyle name="Percent 205 2" xfId="2303"/>
    <cellStyle name="Percent 206" xfId="1598"/>
    <cellStyle name="Percent 207" xfId="1585"/>
    <cellStyle name="Percent 208" xfId="1591"/>
    <cellStyle name="Percent 208 2" xfId="2315"/>
    <cellStyle name="Percent 209" xfId="1584"/>
    <cellStyle name="Percent 209 2" xfId="2309"/>
    <cellStyle name="Percent 21" xfId="1080"/>
    <cellStyle name="Percent 21 2" xfId="2075"/>
    <cellStyle name="Percent 210" xfId="1592"/>
    <cellStyle name="Percent 210 2" xfId="2316"/>
    <cellStyle name="Percent 211" xfId="1586"/>
    <cellStyle name="Percent 211 2" xfId="2310"/>
    <cellStyle name="Percent 212" xfId="1593"/>
    <cellStyle name="Percent 212 2" xfId="2317"/>
    <cellStyle name="Percent 213" xfId="1589"/>
    <cellStyle name="Percent 213 2" xfId="2313"/>
    <cellStyle name="Percent 214" xfId="1594"/>
    <cellStyle name="Percent 214 2" xfId="2318"/>
    <cellStyle name="Percent 215" xfId="1590"/>
    <cellStyle name="Percent 215 2" xfId="2314"/>
    <cellStyle name="Percent 216" xfId="1595"/>
    <cellStyle name="Percent 216 2" xfId="2319"/>
    <cellStyle name="Percent 217" xfId="1588"/>
    <cellStyle name="Percent 217 2" xfId="2312"/>
    <cellStyle name="Percent 218" xfId="1596"/>
    <cellStyle name="Percent 218 2" xfId="2320"/>
    <cellStyle name="Percent 219" xfId="1587"/>
    <cellStyle name="Percent 219 2" xfId="2311"/>
    <cellStyle name="Percent 22" xfId="1081"/>
    <cellStyle name="Percent 22 2" xfId="2076"/>
    <cellStyle name="Percent 220" xfId="1597"/>
    <cellStyle name="Percent 220 2" xfId="2321"/>
    <cellStyle name="Percent 221" xfId="1614"/>
    <cellStyle name="Percent 221 2" xfId="2324"/>
    <cellStyle name="Percent 222" xfId="1616"/>
    <cellStyle name="Percent 223" xfId="1618"/>
    <cellStyle name="Percent 224" xfId="1620"/>
    <cellStyle name="Percent 225" xfId="1622"/>
    <cellStyle name="Percent 226" xfId="1624"/>
    <cellStyle name="Percent 227" xfId="1626"/>
    <cellStyle name="Percent 228" xfId="1629"/>
    <cellStyle name="Percent 229" xfId="1630"/>
    <cellStyle name="Percent 23" xfId="1082"/>
    <cellStyle name="Percent 23 2" xfId="2077"/>
    <cellStyle name="Percent 230" xfId="1632"/>
    <cellStyle name="Percent 231" xfId="2344"/>
    <cellStyle name="Percent 232" xfId="2345"/>
    <cellStyle name="Percent 24" xfId="1083"/>
    <cellStyle name="Percent 24 2" xfId="2078"/>
    <cellStyle name="Percent 25" xfId="1084"/>
    <cellStyle name="Percent 25 2" xfId="2079"/>
    <cellStyle name="Percent 26" xfId="1085"/>
    <cellStyle name="Percent 26 2" xfId="2080"/>
    <cellStyle name="Percent 27" xfId="1086"/>
    <cellStyle name="Percent 27 2" xfId="2081"/>
    <cellStyle name="Percent 28" xfId="1087"/>
    <cellStyle name="Percent 28 2" xfId="2082"/>
    <cellStyle name="Percent 29" xfId="1088"/>
    <cellStyle name="Percent 29 2" xfId="2083"/>
    <cellStyle name="Percent 3" xfId="1089"/>
    <cellStyle name="Percent 3 2" xfId="1090"/>
    <cellStyle name="Percent 3 2 2" xfId="1091"/>
    <cellStyle name="Percent 3 2 2 2" xfId="2086"/>
    <cellStyle name="Percent 3 2 3" xfId="1092"/>
    <cellStyle name="Percent 3 2 3 2" xfId="2087"/>
    <cellStyle name="Percent 3 2 4" xfId="1093"/>
    <cellStyle name="Percent 3 2 4 2" xfId="1094"/>
    <cellStyle name="Percent 3 2 4 3" xfId="1095"/>
    <cellStyle name="Percent 3 2 5" xfId="1096"/>
    <cellStyle name="Percent 3 2 6" xfId="2085"/>
    <cellStyle name="Percent 3 3" xfId="1097"/>
    <cellStyle name="Percent 3 4" xfId="2084"/>
    <cellStyle name="Percent 30" xfId="1098"/>
    <cellStyle name="Percent 30 2" xfId="1099"/>
    <cellStyle name="Percent 30 2 2" xfId="2089"/>
    <cellStyle name="Percent 30 3" xfId="2088"/>
    <cellStyle name="Percent 31" xfId="1100"/>
    <cellStyle name="Percent 31 2" xfId="1101"/>
    <cellStyle name="Percent 31 2 2" xfId="2091"/>
    <cellStyle name="Percent 31 3" xfId="2090"/>
    <cellStyle name="Percent 32" xfId="1102"/>
    <cellStyle name="Percent 32 2" xfId="1103"/>
    <cellStyle name="Percent 32 2 2" xfId="2093"/>
    <cellStyle name="Percent 32 3" xfId="2092"/>
    <cellStyle name="Percent 33" xfId="1104"/>
    <cellStyle name="Percent 33 2" xfId="1105"/>
    <cellStyle name="Percent 33 2 2" xfId="2095"/>
    <cellStyle name="Percent 33 3" xfId="2094"/>
    <cellStyle name="Percent 34" xfId="1106"/>
    <cellStyle name="Percent 34 2" xfId="2096"/>
    <cellStyle name="Percent 35" xfId="1107"/>
    <cellStyle name="Percent 35 2" xfId="1108"/>
    <cellStyle name="Percent 35 2 2" xfId="2098"/>
    <cellStyle name="Percent 35 3" xfId="1109"/>
    <cellStyle name="Percent 35 3 2" xfId="2099"/>
    <cellStyle name="Percent 35 4" xfId="2097"/>
    <cellStyle name="Percent 36" xfId="1110"/>
    <cellStyle name="Percent 36 2" xfId="1111"/>
    <cellStyle name="Percent 36 2 2" xfId="2101"/>
    <cellStyle name="Percent 36 3" xfId="1112"/>
    <cellStyle name="Percent 36 3 2" xfId="2102"/>
    <cellStyle name="Percent 36 4" xfId="2100"/>
    <cellStyle name="Percent 37" xfId="1113"/>
    <cellStyle name="Percent 37 2" xfId="1114"/>
    <cellStyle name="Percent 37 2 2" xfId="2104"/>
    <cellStyle name="Percent 37 3" xfId="2103"/>
    <cellStyle name="Percent 38" xfId="1115"/>
    <cellStyle name="Percent 38 2" xfId="2105"/>
    <cellStyle name="Percent 39" xfId="1116"/>
    <cellStyle name="Percent 39 2" xfId="2106"/>
    <cellStyle name="Percent 4" xfId="1117"/>
    <cellStyle name="Percent 4 2" xfId="1118"/>
    <cellStyle name="Percent 4 3" xfId="2107"/>
    <cellStyle name="Percent 4 4" xfId="2335"/>
    <cellStyle name="Percent 4 5" xfId="2326"/>
    <cellStyle name="Percent 40" xfId="1119"/>
    <cellStyle name="Percent 40 2" xfId="1120"/>
    <cellStyle name="Percent 40 2 2" xfId="2109"/>
    <cellStyle name="Percent 40 3" xfId="2108"/>
    <cellStyle name="Percent 41" xfId="1121"/>
    <cellStyle name="Percent 41 2" xfId="2110"/>
    <cellStyle name="Percent 42" xfId="1122"/>
    <cellStyle name="Percent 42 2" xfId="2111"/>
    <cellStyle name="Percent 43" xfId="1123"/>
    <cellStyle name="Percent 43 2" xfId="2112"/>
    <cellStyle name="Percent 44" xfId="1124"/>
    <cellStyle name="Percent 44 2" xfId="2113"/>
    <cellStyle name="Percent 45" xfId="1125"/>
    <cellStyle name="Percent 45 2" xfId="1126"/>
    <cellStyle name="Percent 45 2 2" xfId="2115"/>
    <cellStyle name="Percent 45 3" xfId="2114"/>
    <cellStyle name="Percent 46" xfId="1127"/>
    <cellStyle name="Percent 46 2" xfId="2116"/>
    <cellStyle name="Percent 47" xfId="1128"/>
    <cellStyle name="Percent 47 2" xfId="2117"/>
    <cellStyle name="Percent 48" xfId="1129"/>
    <cellStyle name="Percent 48 2" xfId="2118"/>
    <cellStyle name="Percent 49" xfId="1130"/>
    <cellStyle name="Percent 49 2" xfId="2119"/>
    <cellStyle name="Percent 5" xfId="1131"/>
    <cellStyle name="Percent 5 2" xfId="2120"/>
    <cellStyle name="Percent 50" xfId="1132"/>
    <cellStyle name="Percent 50 2" xfId="2121"/>
    <cellStyle name="Percent 51" xfId="1133"/>
    <cellStyle name="Percent 51 2" xfId="2122"/>
    <cellStyle name="Percent 52" xfId="1134"/>
    <cellStyle name="Percent 52 2" xfId="1135"/>
    <cellStyle name="Percent 52 2 2" xfId="2124"/>
    <cellStyle name="Percent 52 3" xfId="2123"/>
    <cellStyle name="Percent 53" xfId="1136"/>
    <cellStyle name="Percent 53 2" xfId="1137"/>
    <cellStyle name="Percent 53 2 2" xfId="2126"/>
    <cellStyle name="Percent 53 3" xfId="2125"/>
    <cellStyle name="Percent 54" xfId="1138"/>
    <cellStyle name="Percent 54 2" xfId="1139"/>
    <cellStyle name="Percent 54 2 2" xfId="2128"/>
    <cellStyle name="Percent 54 3" xfId="2127"/>
    <cellStyle name="Percent 55" xfId="1140"/>
    <cellStyle name="Percent 55 2" xfId="1141"/>
    <cellStyle name="Percent 55 2 2" xfId="2130"/>
    <cellStyle name="Percent 55 3" xfId="2129"/>
    <cellStyle name="Percent 56" xfId="1142"/>
    <cellStyle name="Percent 56 2" xfId="2131"/>
    <cellStyle name="Percent 57" xfId="1143"/>
    <cellStyle name="Percent 57 2" xfId="2132"/>
    <cellStyle name="Percent 58" xfId="1144"/>
    <cellStyle name="Percent 58 2" xfId="2133"/>
    <cellStyle name="Percent 59" xfId="1145"/>
    <cellStyle name="Percent 59 2" xfId="2134"/>
    <cellStyle name="Percent 6" xfId="1146"/>
    <cellStyle name="Percent 6 2" xfId="2135"/>
    <cellStyle name="Percent 60" xfId="1147"/>
    <cellStyle name="Percent 60 2" xfId="2136"/>
    <cellStyle name="Percent 61" xfId="1148"/>
    <cellStyle name="Percent 61 2" xfId="2137"/>
    <cellStyle name="Percent 62" xfId="1149"/>
    <cellStyle name="Percent 62 2" xfId="2138"/>
    <cellStyle name="Percent 63" xfId="1150"/>
    <cellStyle name="Percent 63 2" xfId="2139"/>
    <cellStyle name="Percent 64" xfId="1151"/>
    <cellStyle name="Percent 64 2" xfId="2140"/>
    <cellStyle name="Percent 65" xfId="1152"/>
    <cellStyle name="Percent 65 2" xfId="2141"/>
    <cellStyle name="Percent 66" xfId="1153"/>
    <cellStyle name="Percent 66 2" xfId="2142"/>
    <cellStyle name="Percent 67" xfId="1154"/>
    <cellStyle name="Percent 67 2" xfId="2143"/>
    <cellStyle name="Percent 68" xfId="1155"/>
    <cellStyle name="Percent 68 2" xfId="2144"/>
    <cellStyle name="Percent 69" xfId="1156"/>
    <cellStyle name="Percent 69 2" xfId="2145"/>
    <cellStyle name="Percent 7" xfId="1157"/>
    <cellStyle name="Percent 7 2" xfId="2146"/>
    <cellStyle name="Percent 70" xfId="1158"/>
    <cellStyle name="Percent 70 2" xfId="2147"/>
    <cellStyle name="Percent 71" xfId="1159"/>
    <cellStyle name="Percent 71 2" xfId="2148"/>
    <cellStyle name="Percent 72" xfId="1160"/>
    <cellStyle name="Percent 72 2" xfId="1161"/>
    <cellStyle name="Percent 72 2 2" xfId="2150"/>
    <cellStyle name="Percent 72 3" xfId="2149"/>
    <cellStyle name="Percent 73" xfId="1162"/>
    <cellStyle name="Percent 73 2" xfId="1163"/>
    <cellStyle name="Percent 73 2 2" xfId="2152"/>
    <cellStyle name="Percent 73 3" xfId="2151"/>
    <cellStyle name="Percent 74" xfId="1164"/>
    <cellStyle name="Percent 74 2" xfId="1165"/>
    <cellStyle name="Percent 74 2 2" xfId="2154"/>
    <cellStyle name="Percent 74 3" xfId="2153"/>
    <cellStyle name="Percent 75" xfId="1166"/>
    <cellStyle name="Percent 75 2" xfId="1167"/>
    <cellStyle name="Percent 75 2 2" xfId="2156"/>
    <cellStyle name="Percent 75 3" xfId="2155"/>
    <cellStyle name="Percent 76" xfId="1168"/>
    <cellStyle name="Percent 76 2" xfId="1169"/>
    <cellStyle name="Percent 76 2 2" xfId="2158"/>
    <cellStyle name="Percent 76 3" xfId="2157"/>
    <cellStyle name="Percent 77" xfId="1170"/>
    <cellStyle name="Percent 77 2" xfId="1171"/>
    <cellStyle name="Percent 77 2 2" xfId="2160"/>
    <cellStyle name="Percent 77 3" xfId="2159"/>
    <cellStyle name="Percent 78" xfId="1172"/>
    <cellStyle name="Percent 78 2" xfId="1173"/>
    <cellStyle name="Percent 78 2 2" xfId="2162"/>
    <cellStyle name="Percent 78 3" xfId="2161"/>
    <cellStyle name="Percent 79" xfId="1174"/>
    <cellStyle name="Percent 79 2" xfId="2163"/>
    <cellStyle name="Percent 8" xfId="1175"/>
    <cellStyle name="Percent 8 2" xfId="2164"/>
    <cellStyle name="Percent 80" xfId="1176"/>
    <cellStyle name="Percent 80 2" xfId="2165"/>
    <cellStyle name="Percent 81" xfId="1177"/>
    <cellStyle name="Percent 81 2" xfId="2166"/>
    <cellStyle name="Percent 82" xfId="1178"/>
    <cellStyle name="Percent 82 2" xfId="2167"/>
    <cellStyle name="Percent 83" xfId="1179"/>
    <cellStyle name="Percent 83 2" xfId="2168"/>
    <cellStyle name="Percent 84" xfId="1180"/>
    <cellStyle name="Percent 84 2" xfId="2169"/>
    <cellStyle name="Percent 85" xfId="1181"/>
    <cellStyle name="Percent 85 2" xfId="2170"/>
    <cellStyle name="Percent 86" xfId="1182"/>
    <cellStyle name="Percent 86 2" xfId="2171"/>
    <cellStyle name="Percent 87" xfId="1183"/>
    <cellStyle name="Percent 87 2" xfId="2172"/>
    <cellStyle name="Percent 88" xfId="1184"/>
    <cellStyle name="Percent 88 2" xfId="2173"/>
    <cellStyle name="Percent 89" xfId="1185"/>
    <cellStyle name="Percent 89 2" xfId="2174"/>
    <cellStyle name="Percent 9" xfId="1186"/>
    <cellStyle name="Percent 9 2" xfId="1187"/>
    <cellStyle name="Percent 9 2 2" xfId="2176"/>
    <cellStyle name="Percent 9 3" xfId="1188"/>
    <cellStyle name="Percent 9 3 2" xfId="2177"/>
    <cellStyle name="Percent 9 4" xfId="2175"/>
    <cellStyle name="Percent 90" xfId="1189"/>
    <cellStyle name="Percent 90 2" xfId="2178"/>
    <cellStyle name="Percent 91" xfId="1190"/>
    <cellStyle name="Percent 91 2" xfId="2179"/>
    <cellStyle name="Percent 92" xfId="1191"/>
    <cellStyle name="Percent 92 2" xfId="2180"/>
    <cellStyle name="Percent 93" xfId="1192"/>
    <cellStyle name="Percent 93 2" xfId="2181"/>
    <cellStyle name="Percent 94" xfId="1193"/>
    <cellStyle name="Percent 94 2" xfId="1194"/>
    <cellStyle name="Percent 94 2 2" xfId="2183"/>
    <cellStyle name="Percent 94 3" xfId="2182"/>
    <cellStyle name="Percent 95" xfId="1195"/>
    <cellStyle name="Percent 95 2" xfId="1196"/>
    <cellStyle name="Percent 95 2 2" xfId="2185"/>
    <cellStyle name="Percent 95 3" xfId="2184"/>
    <cellStyle name="Percent 96" xfId="1197"/>
    <cellStyle name="Percent 96 2" xfId="1198"/>
    <cellStyle name="Percent 96 2 2" xfId="2187"/>
    <cellStyle name="Percent 96 3" xfId="2186"/>
    <cellStyle name="Percent 97" xfId="1199"/>
    <cellStyle name="Percent 97 2" xfId="1200"/>
    <cellStyle name="Percent 97 2 2" xfId="2189"/>
    <cellStyle name="Percent 97 3" xfId="2188"/>
    <cellStyle name="Percent 98" xfId="1201"/>
    <cellStyle name="Percent 98 2" xfId="1202"/>
    <cellStyle name="Percent 98 2 2" xfId="2191"/>
    <cellStyle name="Percent 98 3" xfId="2190"/>
    <cellStyle name="Percent 99" xfId="1203"/>
    <cellStyle name="Percent 99 2" xfId="1204"/>
    <cellStyle name="Percent 99 2 2" xfId="2193"/>
    <cellStyle name="Percent 99 3" xfId="2192"/>
    <cellStyle name="phx-col-head" xfId="2408"/>
    <cellStyle name="phx-col-head-last" xfId="2409"/>
    <cellStyle name="phx-header" xfId="2410"/>
    <cellStyle name="phx-HL-cell" xfId="2411"/>
    <cellStyle name="phx-HL-row" xfId="2412"/>
    <cellStyle name="phx-level1" xfId="2413"/>
    <cellStyle name="phx-level2" xfId="2414"/>
    <cellStyle name="phx-level3" xfId="2415"/>
    <cellStyle name="phx-level4" xfId="2416"/>
    <cellStyle name="phx-note" xfId="2417"/>
    <cellStyle name="phx-source" xfId="2418"/>
    <cellStyle name="phx-subhead" xfId="2419"/>
    <cellStyle name="phx-total-row" xfId="2420"/>
    <cellStyle name="PSChar" xfId="1205"/>
    <cellStyle name="PSChar 2" xfId="1206"/>
    <cellStyle name="PSChar 3" xfId="1207"/>
    <cellStyle name="PSDate" xfId="1208"/>
    <cellStyle name="PSDate 2" xfId="1209"/>
    <cellStyle name="PSDate 3" xfId="1210"/>
    <cellStyle name="PSDec" xfId="1211"/>
    <cellStyle name="PSDec 2" xfId="1212"/>
    <cellStyle name="PSDec 3" xfId="1213"/>
    <cellStyle name="PSHeading" xfId="1214"/>
    <cellStyle name="PSHeading 2" xfId="1215"/>
    <cellStyle name="PSHeading 2 2" xfId="1216"/>
    <cellStyle name="PSHeading 3" xfId="1217"/>
    <cellStyle name="PSHeading 3 2" xfId="1218"/>
    <cellStyle name="PSHeading 4" xfId="1219"/>
    <cellStyle name="PSHeading_BP-14 Preliminary Capital Forecast NonBudget System_5 2 13" xfId="1220"/>
    <cellStyle name="PSInt" xfId="1221"/>
    <cellStyle name="PSInt 2" xfId="1222"/>
    <cellStyle name="PSInt 3" xfId="1223"/>
    <cellStyle name="PSSpacer" xfId="1224"/>
    <cellStyle name="PSSpacer 2" xfId="1225"/>
    <cellStyle name="PSSpacer 3" xfId="1226"/>
    <cellStyle name="Rate" xfId="1227"/>
    <cellStyle name="Reference" xfId="1228"/>
    <cellStyle name="RevList" xfId="1229"/>
    <cellStyle name="round100" xfId="1230"/>
    <cellStyle name="round100 2" xfId="2194"/>
    <cellStyle name="SectionBreak" xfId="1231"/>
    <cellStyle name="shade" xfId="1232"/>
    <cellStyle name="shade 2" xfId="2195"/>
    <cellStyle name="StmtTtl1" xfId="1233"/>
    <cellStyle name="StmtTtl1 2" xfId="1234"/>
    <cellStyle name="StmtTtl2" xfId="1235"/>
    <cellStyle name="STYL1 - Style1" xfId="1236"/>
    <cellStyle name="Style 1" xfId="1237"/>
    <cellStyle name="Style 1 2" xfId="2196"/>
    <cellStyle name="Style 21" xfId="2351"/>
    <cellStyle name="Style 21 2" xfId="2352"/>
    <cellStyle name="Style 21 2 2" xfId="2383"/>
    <cellStyle name="Style 22" xfId="2353"/>
    <cellStyle name="Style 22 2" xfId="2354"/>
    <cellStyle name="Style 22 2 2" xfId="2384"/>
    <cellStyle name="Style 23" xfId="2355"/>
    <cellStyle name="Style 23 2" xfId="2356"/>
    <cellStyle name="Style 23 2 2" xfId="2385"/>
    <cellStyle name="Style 24" xfId="2357"/>
    <cellStyle name="Style 24 2" xfId="2358"/>
    <cellStyle name="Style 24 2 2" xfId="2386"/>
    <cellStyle name="Style 25" xfId="2359"/>
    <cellStyle name="Style 25 2" xfId="2360"/>
    <cellStyle name="Style 25 2 2" xfId="2387"/>
    <cellStyle name="Style 26" xfId="2361"/>
    <cellStyle name="Style 26 2" xfId="2362"/>
    <cellStyle name="Style 26 2 2" xfId="2388"/>
    <cellStyle name="styleColumnTitles" xfId="2363"/>
    <cellStyle name="styleColumnTitles 2" xfId="2364"/>
    <cellStyle name="styleColumnTitles 2 2" xfId="2389"/>
    <cellStyle name="styleDateRange" xfId="2365"/>
    <cellStyle name="styleDateRange 2" xfId="2366"/>
    <cellStyle name="styleDateRange 2 2" xfId="2390"/>
    <cellStyle name="styleHidden" xfId="2367"/>
    <cellStyle name="styleHidden 2" xfId="2368"/>
    <cellStyle name="styleHidden 2 2" xfId="2391"/>
    <cellStyle name="styleNormal" xfId="2369"/>
    <cellStyle name="styleNormal 2" xfId="2370"/>
    <cellStyle name="styleNormal 2 2" xfId="2392"/>
    <cellStyle name="styleSeriesAttributes" xfId="2371"/>
    <cellStyle name="styleSeriesAttributes 2" xfId="2372"/>
    <cellStyle name="styleSeriesAttributes 2 2" xfId="2393"/>
    <cellStyle name="styleSeriesData" xfId="2373"/>
    <cellStyle name="styleSeriesData 2" xfId="2374"/>
    <cellStyle name="styleSeriesData 2 2" xfId="2394"/>
    <cellStyle name="styleSeriesDataForecast" xfId="2375"/>
    <cellStyle name="styleSeriesDataForecast 2" xfId="2376"/>
    <cellStyle name="styleSeriesDataForecast 2 2" xfId="2395"/>
    <cellStyle name="styleSeriesDataForecastNA" xfId="2377"/>
    <cellStyle name="styleSeriesDataForecastNA 2" xfId="2378"/>
    <cellStyle name="styleSeriesDataForecastNA 2 2" xfId="2396"/>
    <cellStyle name="styleSeriesDataNA" xfId="2379"/>
    <cellStyle name="styleSeriesDataNA 2" xfId="2380"/>
    <cellStyle name="styleSeriesDataNA 2 2" xfId="2397"/>
    <cellStyle name="Subtotal" xfId="1238"/>
    <cellStyle name="Table Head" xfId="1239"/>
    <cellStyle name="Table Head Aligned" xfId="1240"/>
    <cellStyle name="Table Head Blue" xfId="1241"/>
    <cellStyle name="Table Head Green" xfId="1242"/>
    <cellStyle name="Table Heading" xfId="1243"/>
    <cellStyle name="Table Title" xfId="1244"/>
    <cellStyle name="Table Units" xfId="1245"/>
    <cellStyle name="Title 2" xfId="1246"/>
    <cellStyle name="Title 2 2" xfId="1247"/>
    <cellStyle name="Title 2 2 2" xfId="1248"/>
    <cellStyle name="Title 2 2 3" xfId="1249"/>
    <cellStyle name="Title 2 2 4" xfId="1250"/>
    <cellStyle name="Title 2 3" xfId="1251"/>
    <cellStyle name="Title 2 4" xfId="1252"/>
    <cellStyle name="Title 2 5" xfId="1253"/>
    <cellStyle name="Title 2 6" xfId="1254"/>
    <cellStyle name="Title 3" xfId="1255"/>
    <cellStyle name="Title 4" xfId="1544"/>
    <cellStyle name="Title: Minor" xfId="1256"/>
    <cellStyle name="Title: Worksheet" xfId="1257"/>
    <cellStyle name="Total 2" xfId="1258"/>
    <cellStyle name="Total 2 2" xfId="1259"/>
    <cellStyle name="Total 2 2 2" xfId="1260"/>
    <cellStyle name="Total 2 2 3" xfId="1261"/>
    <cellStyle name="Total 2 2 4" xfId="1262"/>
    <cellStyle name="Total 2 3" xfId="1263"/>
    <cellStyle name="Total 2 4" xfId="1264"/>
    <cellStyle name="Total 2 5" xfId="1265"/>
    <cellStyle name="Total 2 6" xfId="1266"/>
    <cellStyle name="Total 2_QC" xfId="1267"/>
    <cellStyle name="Total 3" xfId="1268"/>
    <cellStyle name="Total 4" xfId="1545"/>
    <cellStyle name="v" xfId="1269"/>
    <cellStyle name="v 2" xfId="2197"/>
    <cellStyle name="Warning Text 2" xfId="1270"/>
    <cellStyle name="Warning Text 2 2" xfId="1271"/>
    <cellStyle name="Warning Text 2 2 2" xfId="1272"/>
    <cellStyle name="Warning Text 2 3" xfId="1273"/>
    <cellStyle name="Warning Text 2 4" xfId="1274"/>
    <cellStyle name="Warning Text 2 5" xfId="1275"/>
    <cellStyle name="Warning Text 2 6" xfId="1276"/>
    <cellStyle name="Warning Text 3" xfId="1277"/>
    <cellStyle name="Warning Text 4" xfId="154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66"/>
      <color rgb="FFF3EE1D"/>
      <color rgb="FFFF9933"/>
      <color rgb="FF0070C0"/>
      <color rgb="FF4BACC6"/>
      <color rgb="FFFF3399"/>
      <color rgb="FFCC00FF"/>
      <color rgb="FF64C800"/>
      <color rgb="FF9B6943"/>
      <color rgb="FF009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Revenue Requirement</a:t>
            </a:r>
            <a:r>
              <a:rPr lang="en-US" sz="1400" baseline="0"/>
              <a:t> </a:t>
            </a:r>
            <a:r>
              <a:rPr lang="en-US" sz="1400"/>
              <a:t>Changes</a:t>
            </a:r>
            <a:r>
              <a:rPr lang="en-US" sz="1400" baseline="0"/>
              <a:t> Initial Proposal to Final Proposal</a:t>
            </a:r>
          </a:p>
          <a:p>
            <a:pPr>
              <a:defRPr sz="1400"/>
            </a:pPr>
            <a:r>
              <a:rPr lang="en-US" sz="1100" baseline="0"/>
              <a:t>($000s)</a:t>
            </a:r>
            <a:endParaRPr lang="en-US" sz="1100"/>
          </a:p>
        </c:rich>
      </c:tx>
      <c:overlay val="0"/>
    </c:title>
    <c:autoTitleDeleted val="0"/>
    <c:plotArea>
      <c:layout/>
      <c:barChart>
        <c:barDir val="col"/>
        <c:grouping val="stacked"/>
        <c:varyColors val="0"/>
        <c:ser>
          <c:idx val="1"/>
          <c:order val="0"/>
          <c:tx>
            <c:strRef>
              <c:f>Graphs!$A$8</c:f>
              <c:strCache>
                <c:ptCount val="1"/>
                <c:pt idx="0">
                  <c:v>Transmission Operations</c:v>
                </c:pt>
              </c:strCache>
            </c:strRef>
          </c:tx>
          <c:invertIfNegative val="0"/>
          <c:cat>
            <c:numRef>
              <c:f>Graphs!$B$7:$O$7</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Graphs!$B$8:$O$8</c:f>
              <c:numCache>
                <c:formatCode>_(* #,##0_);_(* \(#,##0\);_(* "-"??_);_(@_)</c:formatCode>
                <c:ptCount val="14"/>
              </c:numCache>
            </c:numRef>
          </c:val>
          <c:extLst>
            <c:ext xmlns:c16="http://schemas.microsoft.com/office/drawing/2014/chart" uri="{C3380CC4-5D6E-409C-BE32-E72D297353CC}">
              <c16:uniqueId val="{00000000-66E5-48F9-9CCF-0F0FEBA2B70A}"/>
            </c:ext>
          </c:extLst>
        </c:ser>
        <c:ser>
          <c:idx val="2"/>
          <c:order val="1"/>
          <c:tx>
            <c:strRef>
              <c:f>Graphs!$A$9</c:f>
              <c:strCache>
                <c:ptCount val="1"/>
                <c:pt idx="0">
                  <c:v>Transmission Engineering</c:v>
                </c:pt>
              </c:strCache>
            </c:strRef>
          </c:tx>
          <c:invertIfNegative val="0"/>
          <c:cat>
            <c:numRef>
              <c:f>Graphs!$B$7:$O$7</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Graphs!$B$9:$O$9</c:f>
              <c:numCache>
                <c:formatCode>_(* #,##0_);_(* \(#,##0\);_(* "-"??_);_(@_)</c:formatCode>
                <c:ptCount val="14"/>
              </c:numCache>
            </c:numRef>
          </c:val>
          <c:extLst>
            <c:ext xmlns:c16="http://schemas.microsoft.com/office/drawing/2014/chart" uri="{C3380CC4-5D6E-409C-BE32-E72D297353CC}">
              <c16:uniqueId val="{00000001-66E5-48F9-9CCF-0F0FEBA2B70A}"/>
            </c:ext>
          </c:extLst>
        </c:ser>
        <c:ser>
          <c:idx val="3"/>
          <c:order val="2"/>
          <c:tx>
            <c:strRef>
              <c:f>Graphs!$A$10</c:f>
              <c:strCache>
                <c:ptCount val="1"/>
                <c:pt idx="0">
                  <c:v>Transmission Maintenance</c:v>
                </c:pt>
              </c:strCache>
            </c:strRef>
          </c:tx>
          <c:invertIfNegative val="0"/>
          <c:cat>
            <c:numRef>
              <c:f>Graphs!$B$7:$O$7</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Graphs!$B$10:$O$10</c:f>
              <c:numCache>
                <c:formatCode>_(* #,##0_);_(* \(#,##0\);_(* "-"??_);_(@_)</c:formatCode>
                <c:ptCount val="14"/>
              </c:numCache>
            </c:numRef>
          </c:val>
          <c:extLst>
            <c:ext xmlns:c16="http://schemas.microsoft.com/office/drawing/2014/chart" uri="{C3380CC4-5D6E-409C-BE32-E72D297353CC}">
              <c16:uniqueId val="{00000002-66E5-48F9-9CCF-0F0FEBA2B70A}"/>
            </c:ext>
          </c:extLst>
        </c:ser>
        <c:ser>
          <c:idx val="4"/>
          <c:order val="3"/>
          <c:tx>
            <c:strRef>
              <c:f>Graphs!$A$11</c:f>
              <c:strCache>
                <c:ptCount val="1"/>
                <c:pt idx="0">
                  <c:v>Transmission Acq &amp; Ancillary Services</c:v>
                </c:pt>
              </c:strCache>
            </c:strRef>
          </c:tx>
          <c:invertIfNegative val="0"/>
          <c:cat>
            <c:numRef>
              <c:f>Graphs!$B$7:$O$7</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Graphs!$B$11:$O$11</c:f>
              <c:numCache>
                <c:formatCode>_(* #,##0_);_(* \(#,##0\);_(* "-"??_);_(@_)</c:formatCode>
                <c:ptCount val="14"/>
              </c:numCache>
            </c:numRef>
          </c:val>
          <c:extLst>
            <c:ext xmlns:c16="http://schemas.microsoft.com/office/drawing/2014/chart" uri="{C3380CC4-5D6E-409C-BE32-E72D297353CC}">
              <c16:uniqueId val="{00000003-66E5-48F9-9CCF-0F0FEBA2B70A}"/>
            </c:ext>
          </c:extLst>
        </c:ser>
        <c:ser>
          <c:idx val="5"/>
          <c:order val="4"/>
          <c:tx>
            <c:strRef>
              <c:f>Graphs!$A$12</c:f>
              <c:strCache>
                <c:ptCount val="1"/>
                <c:pt idx="0">
                  <c:v>BPA Internal Support</c:v>
                </c:pt>
              </c:strCache>
            </c:strRef>
          </c:tx>
          <c:invertIfNegative val="0"/>
          <c:cat>
            <c:numRef>
              <c:f>Graphs!$B$7:$O$7</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Graphs!$B$12:$O$12</c:f>
              <c:numCache>
                <c:formatCode>_(* #,##0_);_(* \(#,##0\);_(* "-"??_);_(@_)</c:formatCode>
                <c:ptCount val="14"/>
              </c:numCache>
            </c:numRef>
          </c:val>
          <c:extLst>
            <c:ext xmlns:c16="http://schemas.microsoft.com/office/drawing/2014/chart" uri="{C3380CC4-5D6E-409C-BE32-E72D297353CC}">
              <c16:uniqueId val="{00000004-66E5-48F9-9CCF-0F0FEBA2B70A}"/>
            </c:ext>
          </c:extLst>
        </c:ser>
        <c:ser>
          <c:idx val="6"/>
          <c:order val="5"/>
          <c:tx>
            <c:strRef>
              <c:f>Graphs!$A$13</c:f>
              <c:strCache>
                <c:ptCount val="1"/>
                <c:pt idx="0">
                  <c:v>Other Income, Expenses, &amp; Adjustments</c:v>
                </c:pt>
              </c:strCache>
            </c:strRef>
          </c:tx>
          <c:invertIfNegative val="0"/>
          <c:cat>
            <c:numRef>
              <c:f>Graphs!$B$7:$O$7</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Graphs!$B$13:$O$13</c:f>
              <c:numCache>
                <c:formatCode>_(* #,##0_);_(* \(#,##0\);_(* "-"??_);_(@_)</c:formatCode>
                <c:ptCount val="14"/>
              </c:numCache>
            </c:numRef>
          </c:val>
          <c:extLst>
            <c:ext xmlns:c16="http://schemas.microsoft.com/office/drawing/2014/chart" uri="{C3380CC4-5D6E-409C-BE32-E72D297353CC}">
              <c16:uniqueId val="{00000005-66E5-48F9-9CCF-0F0FEBA2B70A}"/>
            </c:ext>
          </c:extLst>
        </c:ser>
        <c:ser>
          <c:idx val="7"/>
          <c:order val="6"/>
          <c:tx>
            <c:strRef>
              <c:f>Graphs!$A$14</c:f>
              <c:strCache>
                <c:ptCount val="1"/>
                <c:pt idx="0">
                  <c:v>Capital Related Costs</c:v>
                </c:pt>
              </c:strCache>
            </c:strRef>
          </c:tx>
          <c:invertIfNegative val="0"/>
          <c:cat>
            <c:numRef>
              <c:f>Graphs!$B$7:$O$7</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Graphs!$B$14:$O$14</c:f>
              <c:numCache>
                <c:formatCode>_(* #,##0_);_(* \(#,##0\);_(* "-"??_);_(@_)</c:formatCode>
                <c:ptCount val="14"/>
              </c:numCache>
            </c:numRef>
          </c:val>
          <c:extLst>
            <c:ext xmlns:c16="http://schemas.microsoft.com/office/drawing/2014/chart" uri="{C3380CC4-5D6E-409C-BE32-E72D297353CC}">
              <c16:uniqueId val="{00000006-66E5-48F9-9CCF-0F0FEBA2B70A}"/>
            </c:ext>
          </c:extLst>
        </c:ser>
        <c:dLbls>
          <c:showLegendKey val="0"/>
          <c:showVal val="0"/>
          <c:showCatName val="0"/>
          <c:showSerName val="0"/>
          <c:showPercent val="0"/>
          <c:showBubbleSize val="0"/>
        </c:dLbls>
        <c:gapWidth val="75"/>
        <c:overlap val="100"/>
        <c:axId val="263687168"/>
        <c:axId val="263693056"/>
      </c:barChart>
      <c:catAx>
        <c:axId val="263687168"/>
        <c:scaling>
          <c:orientation val="minMax"/>
        </c:scaling>
        <c:delete val="0"/>
        <c:axPos val="b"/>
        <c:numFmt formatCode="General" sourceLinked="1"/>
        <c:majorTickMark val="none"/>
        <c:minorTickMark val="none"/>
        <c:tickLblPos val="nextTo"/>
        <c:crossAx val="263693056"/>
        <c:crosses val="autoZero"/>
        <c:auto val="1"/>
        <c:lblAlgn val="ctr"/>
        <c:lblOffset val="100"/>
        <c:noMultiLvlLbl val="0"/>
      </c:catAx>
      <c:valAx>
        <c:axId val="263693056"/>
        <c:scaling>
          <c:orientation val="minMax"/>
        </c:scaling>
        <c:delete val="0"/>
        <c:axPos val="l"/>
        <c:majorGridlines/>
        <c:numFmt formatCode="_(* #,##0_);_(* \(#,##0\);_(* &quot;-&quot;??_);_(@_)" sourceLinked="1"/>
        <c:majorTickMark val="none"/>
        <c:minorTickMark val="none"/>
        <c:tickLblPos val="nextTo"/>
        <c:spPr>
          <a:ln w="9525">
            <a:noFill/>
          </a:ln>
        </c:spPr>
        <c:crossAx val="26368716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aseline="0"/>
              <a:t>Capital Related Cost </a:t>
            </a:r>
            <a:r>
              <a:rPr lang="en-US" sz="1400"/>
              <a:t>Changes</a:t>
            </a:r>
            <a:r>
              <a:rPr lang="en-US" sz="1400" baseline="0"/>
              <a:t> from Initial Proposal to Final Proposal</a:t>
            </a:r>
          </a:p>
          <a:p>
            <a:pPr>
              <a:defRPr sz="1400"/>
            </a:pPr>
            <a:r>
              <a:rPr lang="en-US" sz="1100" baseline="0"/>
              <a:t>($000s)</a:t>
            </a:r>
            <a:endParaRPr lang="en-US" sz="1400" baseline="0"/>
          </a:p>
        </c:rich>
      </c:tx>
      <c:overlay val="0"/>
    </c:title>
    <c:autoTitleDeleted val="0"/>
    <c:plotArea>
      <c:layout/>
      <c:barChart>
        <c:barDir val="col"/>
        <c:grouping val="stacked"/>
        <c:varyColors val="0"/>
        <c:ser>
          <c:idx val="2"/>
          <c:order val="0"/>
          <c:tx>
            <c:strRef>
              <c:f>Graphs!$A$18</c:f>
              <c:strCache>
                <c:ptCount val="1"/>
                <c:pt idx="0">
                  <c:v>Depreciation &amp; Amortization</c:v>
                </c:pt>
              </c:strCache>
            </c:strRef>
          </c:tx>
          <c:invertIfNegative val="0"/>
          <c:cat>
            <c:numRef>
              <c:f>Graphs!$B$17:$O$17</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Graphs!$B$18:$O$18</c:f>
              <c:numCache>
                <c:formatCode>_(* #,##0_);_(* \(#,##0\);_(* "-"??_);_(@_)</c:formatCode>
                <c:ptCount val="14"/>
              </c:numCache>
            </c:numRef>
          </c:val>
          <c:extLst>
            <c:ext xmlns:c16="http://schemas.microsoft.com/office/drawing/2014/chart" uri="{C3380CC4-5D6E-409C-BE32-E72D297353CC}">
              <c16:uniqueId val="{00000000-0B3E-4ACC-AED2-E99A5C810A22}"/>
            </c:ext>
          </c:extLst>
        </c:ser>
        <c:ser>
          <c:idx val="3"/>
          <c:order val="1"/>
          <c:tx>
            <c:strRef>
              <c:f>Graphs!$A$19</c:f>
              <c:strCache>
                <c:ptCount val="1"/>
                <c:pt idx="0">
                  <c:v>Net Interest Expense</c:v>
                </c:pt>
              </c:strCache>
            </c:strRef>
          </c:tx>
          <c:invertIfNegative val="0"/>
          <c:cat>
            <c:numRef>
              <c:f>Graphs!$B$17:$O$17</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Graphs!$B$19:$O$19</c:f>
              <c:numCache>
                <c:formatCode>_(* #,##0_);_(* \(#,##0\);_(* "-"??_);_(@_)</c:formatCode>
                <c:ptCount val="14"/>
              </c:numCache>
            </c:numRef>
          </c:val>
          <c:extLst>
            <c:ext xmlns:c16="http://schemas.microsoft.com/office/drawing/2014/chart" uri="{C3380CC4-5D6E-409C-BE32-E72D297353CC}">
              <c16:uniqueId val="{00000001-0B3E-4ACC-AED2-E99A5C810A22}"/>
            </c:ext>
          </c:extLst>
        </c:ser>
        <c:ser>
          <c:idx val="4"/>
          <c:order val="2"/>
          <c:tx>
            <c:strRef>
              <c:f>Graphs!$A$20</c:f>
              <c:strCache>
                <c:ptCount val="1"/>
                <c:pt idx="0">
                  <c:v>Total Planned Net Revenue</c:v>
                </c:pt>
              </c:strCache>
            </c:strRef>
          </c:tx>
          <c:invertIfNegative val="0"/>
          <c:cat>
            <c:numRef>
              <c:f>Graphs!$B$17:$O$17</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Graphs!$B$20:$O$20</c:f>
              <c:numCache>
                <c:formatCode>_(* #,##0_);_(* \(#,##0\);_(* "-"??_);_(@_)</c:formatCode>
                <c:ptCount val="14"/>
              </c:numCache>
            </c:numRef>
          </c:val>
          <c:extLst>
            <c:ext xmlns:c16="http://schemas.microsoft.com/office/drawing/2014/chart" uri="{C3380CC4-5D6E-409C-BE32-E72D297353CC}">
              <c16:uniqueId val="{00000002-0B3E-4ACC-AED2-E99A5C810A22}"/>
            </c:ext>
          </c:extLst>
        </c:ser>
        <c:dLbls>
          <c:showLegendKey val="0"/>
          <c:showVal val="0"/>
          <c:showCatName val="0"/>
          <c:showSerName val="0"/>
          <c:showPercent val="0"/>
          <c:showBubbleSize val="0"/>
        </c:dLbls>
        <c:gapWidth val="75"/>
        <c:overlap val="100"/>
        <c:axId val="263731456"/>
        <c:axId val="263733248"/>
      </c:barChart>
      <c:catAx>
        <c:axId val="263731456"/>
        <c:scaling>
          <c:orientation val="minMax"/>
        </c:scaling>
        <c:delete val="0"/>
        <c:axPos val="b"/>
        <c:numFmt formatCode="General" sourceLinked="1"/>
        <c:majorTickMark val="none"/>
        <c:minorTickMark val="none"/>
        <c:tickLblPos val="nextTo"/>
        <c:crossAx val="263733248"/>
        <c:crosses val="autoZero"/>
        <c:auto val="1"/>
        <c:lblAlgn val="ctr"/>
        <c:lblOffset val="100"/>
        <c:noMultiLvlLbl val="0"/>
      </c:catAx>
      <c:valAx>
        <c:axId val="263733248"/>
        <c:scaling>
          <c:orientation val="minMax"/>
        </c:scaling>
        <c:delete val="0"/>
        <c:axPos val="l"/>
        <c:majorGridlines/>
        <c:numFmt formatCode="_(* #,##0_);_(* \(#,##0\);_(* &quot;-&quot;??_);_(@_)" sourceLinked="1"/>
        <c:majorTickMark val="none"/>
        <c:minorTickMark val="none"/>
        <c:tickLblPos val="nextTo"/>
        <c:spPr>
          <a:ln w="9525">
            <a:noFill/>
          </a:ln>
        </c:spPr>
        <c:crossAx val="26373145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Revenue</a:t>
            </a:r>
            <a:r>
              <a:rPr lang="en-US" sz="1400" baseline="0"/>
              <a:t> Requirement Comparison</a:t>
            </a:r>
          </a:p>
          <a:p>
            <a:pPr>
              <a:defRPr sz="1400"/>
            </a:pPr>
            <a:r>
              <a:rPr lang="en-US" sz="1100" baseline="0"/>
              <a:t>($000s)</a:t>
            </a:r>
            <a:endParaRPr lang="en-US" sz="1400" baseline="0"/>
          </a:p>
        </c:rich>
      </c:tx>
      <c:overlay val="0"/>
    </c:title>
    <c:autoTitleDeleted val="0"/>
    <c:plotArea>
      <c:layout/>
      <c:lineChart>
        <c:grouping val="standard"/>
        <c:varyColors val="0"/>
        <c:ser>
          <c:idx val="0"/>
          <c:order val="0"/>
          <c:tx>
            <c:strRef>
              <c:f>Graphs!$A$24</c:f>
              <c:strCache>
                <c:ptCount val="1"/>
                <c:pt idx="0">
                  <c:v>0</c:v>
                </c:pt>
              </c:strCache>
            </c:strRef>
          </c:tx>
          <c:marker>
            <c:symbol val="none"/>
          </c:marker>
          <c:cat>
            <c:numRef>
              <c:f>Graphs!$B$23:$O$23</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Graphs!$B$24:$O$24</c:f>
              <c:numCache>
                <c:formatCode>_(* #,##0_);_(* \(#,##0\);_(* "-"??_);_(@_)</c:formatCode>
                <c:ptCount val="14"/>
              </c:numCache>
            </c:numRef>
          </c:val>
          <c:smooth val="0"/>
          <c:extLst>
            <c:ext xmlns:c16="http://schemas.microsoft.com/office/drawing/2014/chart" uri="{C3380CC4-5D6E-409C-BE32-E72D297353CC}">
              <c16:uniqueId val="{00000000-57F9-412A-93D6-19B1830DB145}"/>
            </c:ext>
          </c:extLst>
        </c:ser>
        <c:ser>
          <c:idx val="1"/>
          <c:order val="1"/>
          <c:tx>
            <c:strRef>
              <c:f>Graphs!$A$25</c:f>
              <c:strCache>
                <c:ptCount val="1"/>
                <c:pt idx="0">
                  <c:v>0</c:v>
                </c:pt>
              </c:strCache>
            </c:strRef>
          </c:tx>
          <c:marker>
            <c:symbol val="none"/>
          </c:marker>
          <c:cat>
            <c:numRef>
              <c:f>Graphs!$B$23:$O$23</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Graphs!$B$25:$O$25</c:f>
              <c:numCache>
                <c:formatCode>_(* #,##0_);_(* \(#,##0\);_(* "-"??_);_(@_)</c:formatCode>
                <c:ptCount val="14"/>
              </c:numCache>
            </c:numRef>
          </c:val>
          <c:smooth val="0"/>
          <c:extLst>
            <c:ext xmlns:c16="http://schemas.microsoft.com/office/drawing/2014/chart" uri="{C3380CC4-5D6E-409C-BE32-E72D297353CC}">
              <c16:uniqueId val="{00000001-57F9-412A-93D6-19B1830DB145}"/>
            </c:ext>
          </c:extLst>
        </c:ser>
        <c:dLbls>
          <c:showLegendKey val="0"/>
          <c:showVal val="0"/>
          <c:showCatName val="0"/>
          <c:showSerName val="0"/>
          <c:showPercent val="0"/>
          <c:showBubbleSize val="0"/>
        </c:dLbls>
        <c:smooth val="0"/>
        <c:axId val="263779072"/>
        <c:axId val="263780608"/>
      </c:lineChart>
      <c:catAx>
        <c:axId val="263779072"/>
        <c:scaling>
          <c:orientation val="minMax"/>
        </c:scaling>
        <c:delete val="0"/>
        <c:axPos val="b"/>
        <c:numFmt formatCode="General" sourceLinked="1"/>
        <c:majorTickMark val="none"/>
        <c:minorTickMark val="none"/>
        <c:tickLblPos val="nextTo"/>
        <c:crossAx val="263780608"/>
        <c:crosses val="autoZero"/>
        <c:auto val="1"/>
        <c:lblAlgn val="ctr"/>
        <c:lblOffset val="100"/>
        <c:noMultiLvlLbl val="0"/>
      </c:catAx>
      <c:valAx>
        <c:axId val="263780608"/>
        <c:scaling>
          <c:orientation val="minMax"/>
          <c:max val="1900000"/>
          <c:min val="1000000"/>
        </c:scaling>
        <c:delete val="0"/>
        <c:axPos val="l"/>
        <c:majorGridlines/>
        <c:numFmt formatCode="_(* #,##0_);_(* \(#,##0\);_(* &quot;-&quot;??_);_(@_)" sourceLinked="1"/>
        <c:majorTickMark val="none"/>
        <c:minorTickMark val="none"/>
        <c:tickLblPos val="nextTo"/>
        <c:spPr>
          <a:ln w="9525">
            <a:noFill/>
          </a:ln>
        </c:spPr>
        <c:crossAx val="26377907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aseline="0"/>
              <a:t>Capital Related Cost Comparison</a:t>
            </a:r>
          </a:p>
          <a:p>
            <a:pPr>
              <a:defRPr sz="1400"/>
            </a:pPr>
            <a:r>
              <a:rPr lang="en-US" sz="1100" baseline="0"/>
              <a:t>($000s)</a:t>
            </a:r>
            <a:endParaRPr lang="en-US" sz="1400"/>
          </a:p>
        </c:rich>
      </c:tx>
      <c:overlay val="0"/>
    </c:title>
    <c:autoTitleDeleted val="0"/>
    <c:plotArea>
      <c:layout/>
      <c:lineChart>
        <c:grouping val="standard"/>
        <c:varyColors val="0"/>
        <c:ser>
          <c:idx val="0"/>
          <c:order val="0"/>
          <c:tx>
            <c:strRef>
              <c:f>Graphs!$A$29</c:f>
              <c:strCache>
                <c:ptCount val="1"/>
                <c:pt idx="0">
                  <c:v>0</c:v>
                </c:pt>
              </c:strCache>
            </c:strRef>
          </c:tx>
          <c:marker>
            <c:symbol val="none"/>
          </c:marker>
          <c:cat>
            <c:numRef>
              <c:f>Graphs!$B$28:$O$28</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Graphs!$B$29:$O$29</c:f>
              <c:numCache>
                <c:formatCode>_(* #,##0_);_(* \(#,##0\);_(* "-"??_);_(@_)</c:formatCode>
                <c:ptCount val="14"/>
              </c:numCache>
            </c:numRef>
          </c:val>
          <c:smooth val="0"/>
          <c:extLst>
            <c:ext xmlns:c16="http://schemas.microsoft.com/office/drawing/2014/chart" uri="{C3380CC4-5D6E-409C-BE32-E72D297353CC}">
              <c16:uniqueId val="{00000000-CB57-43F9-964A-18C6C22220A8}"/>
            </c:ext>
          </c:extLst>
        </c:ser>
        <c:ser>
          <c:idx val="1"/>
          <c:order val="1"/>
          <c:tx>
            <c:strRef>
              <c:f>Graphs!$A$30</c:f>
              <c:strCache>
                <c:ptCount val="1"/>
                <c:pt idx="0">
                  <c:v>0</c:v>
                </c:pt>
              </c:strCache>
            </c:strRef>
          </c:tx>
          <c:marker>
            <c:symbol val="none"/>
          </c:marker>
          <c:cat>
            <c:numRef>
              <c:f>Graphs!$B$28:$O$28</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Graphs!$B$30:$O$30</c:f>
              <c:numCache>
                <c:formatCode>_(* #,##0_);_(* \(#,##0\);_(* "-"??_);_(@_)</c:formatCode>
                <c:ptCount val="14"/>
              </c:numCache>
            </c:numRef>
          </c:val>
          <c:smooth val="0"/>
          <c:extLst>
            <c:ext xmlns:c16="http://schemas.microsoft.com/office/drawing/2014/chart" uri="{C3380CC4-5D6E-409C-BE32-E72D297353CC}">
              <c16:uniqueId val="{00000001-CB57-43F9-964A-18C6C22220A8}"/>
            </c:ext>
          </c:extLst>
        </c:ser>
        <c:dLbls>
          <c:showLegendKey val="0"/>
          <c:showVal val="0"/>
          <c:showCatName val="0"/>
          <c:showSerName val="0"/>
          <c:showPercent val="0"/>
          <c:showBubbleSize val="0"/>
        </c:dLbls>
        <c:smooth val="0"/>
        <c:axId val="264981504"/>
        <c:axId val="264991488"/>
      </c:lineChart>
      <c:catAx>
        <c:axId val="264981504"/>
        <c:scaling>
          <c:orientation val="minMax"/>
        </c:scaling>
        <c:delete val="0"/>
        <c:axPos val="b"/>
        <c:numFmt formatCode="General" sourceLinked="1"/>
        <c:majorTickMark val="none"/>
        <c:minorTickMark val="none"/>
        <c:tickLblPos val="nextTo"/>
        <c:crossAx val="264991488"/>
        <c:crosses val="autoZero"/>
        <c:auto val="1"/>
        <c:lblAlgn val="ctr"/>
        <c:lblOffset val="100"/>
        <c:noMultiLvlLbl val="0"/>
      </c:catAx>
      <c:valAx>
        <c:axId val="264991488"/>
        <c:scaling>
          <c:orientation val="minMax"/>
          <c:min val="400000"/>
        </c:scaling>
        <c:delete val="0"/>
        <c:axPos val="l"/>
        <c:majorGridlines/>
        <c:numFmt formatCode="_(* #,##0_);_(* \(#,##0\);_(* &quot;-&quot;??_);_(@_)" sourceLinked="1"/>
        <c:majorTickMark val="none"/>
        <c:minorTickMark val="none"/>
        <c:tickLblPos val="nextTo"/>
        <c:spPr>
          <a:ln w="9525">
            <a:noFill/>
          </a:ln>
        </c:spPr>
        <c:crossAx val="2649815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Average Revenue</a:t>
            </a:r>
            <a:r>
              <a:rPr lang="en-US" sz="1400" baseline="0"/>
              <a:t> Requirement Comparison</a:t>
            </a:r>
          </a:p>
          <a:p>
            <a:pPr>
              <a:defRPr sz="1400"/>
            </a:pPr>
            <a:r>
              <a:rPr lang="en-US" sz="1100" baseline="0"/>
              <a:t>($000s)</a:t>
            </a:r>
            <a:endParaRPr lang="en-US" sz="1400"/>
          </a:p>
        </c:rich>
      </c:tx>
      <c:overlay val="0"/>
    </c:title>
    <c:autoTitleDeleted val="0"/>
    <c:plotArea>
      <c:layout/>
      <c:lineChart>
        <c:grouping val="standard"/>
        <c:varyColors val="0"/>
        <c:ser>
          <c:idx val="0"/>
          <c:order val="0"/>
          <c:tx>
            <c:strRef>
              <c:f>Graphs!$A$34</c:f>
              <c:strCache>
                <c:ptCount val="1"/>
                <c:pt idx="0">
                  <c:v>0</c:v>
                </c:pt>
              </c:strCache>
            </c:strRef>
          </c:tx>
          <c:marker>
            <c:symbol val="none"/>
          </c:marker>
          <c:cat>
            <c:strRef>
              <c:f>Graphs!$B$33:$H$33</c:f>
              <c:strCache>
                <c:ptCount val="6"/>
                <c:pt idx="0">
                  <c:v>20/21</c:v>
                </c:pt>
                <c:pt idx="1">
                  <c:v>22/23</c:v>
                </c:pt>
                <c:pt idx="2">
                  <c:v>24/25</c:v>
                </c:pt>
                <c:pt idx="3">
                  <c:v>26/27/28</c:v>
                </c:pt>
                <c:pt idx="4">
                  <c:v>29/30</c:v>
                </c:pt>
                <c:pt idx="5">
                  <c:v>31/32</c:v>
                </c:pt>
              </c:strCache>
            </c:strRef>
          </c:cat>
          <c:val>
            <c:numRef>
              <c:f>Graphs!$B$34:$H$34</c:f>
              <c:numCache>
                <c:formatCode>_(* #,##0_);_(* \(#,##0\);_(* "-"??_);_(@_)</c:formatCode>
                <c:ptCount val="7"/>
              </c:numCache>
            </c:numRef>
          </c:val>
          <c:smooth val="0"/>
          <c:extLst>
            <c:ext xmlns:c16="http://schemas.microsoft.com/office/drawing/2014/chart" uri="{C3380CC4-5D6E-409C-BE32-E72D297353CC}">
              <c16:uniqueId val="{00000000-8426-4DB3-AED8-DC82475A0C76}"/>
            </c:ext>
          </c:extLst>
        </c:ser>
        <c:ser>
          <c:idx val="1"/>
          <c:order val="1"/>
          <c:tx>
            <c:strRef>
              <c:f>Graphs!$A$35</c:f>
              <c:strCache>
                <c:ptCount val="1"/>
                <c:pt idx="0">
                  <c:v>0</c:v>
                </c:pt>
              </c:strCache>
            </c:strRef>
          </c:tx>
          <c:marker>
            <c:symbol val="none"/>
          </c:marker>
          <c:cat>
            <c:strRef>
              <c:f>Graphs!$B$33:$H$33</c:f>
              <c:strCache>
                <c:ptCount val="6"/>
                <c:pt idx="0">
                  <c:v>20/21</c:v>
                </c:pt>
                <c:pt idx="1">
                  <c:v>22/23</c:v>
                </c:pt>
                <c:pt idx="2">
                  <c:v>24/25</c:v>
                </c:pt>
                <c:pt idx="3">
                  <c:v>26/27/28</c:v>
                </c:pt>
                <c:pt idx="4">
                  <c:v>29/30</c:v>
                </c:pt>
                <c:pt idx="5">
                  <c:v>31/32</c:v>
                </c:pt>
              </c:strCache>
            </c:strRef>
          </c:cat>
          <c:val>
            <c:numRef>
              <c:f>Graphs!$B$35:$H$35</c:f>
              <c:numCache>
                <c:formatCode>_(* #,##0_);_(* \(#,##0\);_(* "-"??_);_(@_)</c:formatCode>
                <c:ptCount val="7"/>
              </c:numCache>
            </c:numRef>
          </c:val>
          <c:smooth val="0"/>
          <c:extLst>
            <c:ext xmlns:c16="http://schemas.microsoft.com/office/drawing/2014/chart" uri="{C3380CC4-5D6E-409C-BE32-E72D297353CC}">
              <c16:uniqueId val="{00000001-8426-4DB3-AED8-DC82475A0C76}"/>
            </c:ext>
          </c:extLst>
        </c:ser>
        <c:dLbls>
          <c:showLegendKey val="0"/>
          <c:showVal val="0"/>
          <c:showCatName val="0"/>
          <c:showSerName val="0"/>
          <c:showPercent val="0"/>
          <c:showBubbleSize val="0"/>
        </c:dLbls>
        <c:smooth val="0"/>
        <c:axId val="265016832"/>
        <c:axId val="265018368"/>
      </c:lineChart>
      <c:catAx>
        <c:axId val="265016832"/>
        <c:scaling>
          <c:orientation val="minMax"/>
        </c:scaling>
        <c:delete val="0"/>
        <c:axPos val="b"/>
        <c:numFmt formatCode="General" sourceLinked="1"/>
        <c:majorTickMark val="none"/>
        <c:minorTickMark val="none"/>
        <c:tickLblPos val="nextTo"/>
        <c:crossAx val="265018368"/>
        <c:crosses val="autoZero"/>
        <c:auto val="1"/>
        <c:lblAlgn val="ctr"/>
        <c:lblOffset val="100"/>
        <c:noMultiLvlLbl val="0"/>
      </c:catAx>
      <c:valAx>
        <c:axId val="265018368"/>
        <c:scaling>
          <c:orientation val="minMax"/>
          <c:max val="1900000"/>
          <c:min val="1000000"/>
        </c:scaling>
        <c:delete val="0"/>
        <c:axPos val="l"/>
        <c:majorGridlines/>
        <c:numFmt formatCode="_(* #,##0_);_(* \(#,##0\);_(* &quot;-&quot;??_);_(@_)" sourceLinked="1"/>
        <c:majorTickMark val="none"/>
        <c:minorTickMark val="none"/>
        <c:tickLblPos val="nextTo"/>
        <c:spPr>
          <a:ln w="9525">
            <a:noFill/>
          </a:ln>
        </c:spPr>
        <c:crossAx val="2650168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aseline="0"/>
              <a:t>Average Capital Related Cost Comparison</a:t>
            </a:r>
          </a:p>
          <a:p>
            <a:pPr>
              <a:defRPr sz="1400"/>
            </a:pPr>
            <a:r>
              <a:rPr lang="en-US" sz="1100" baseline="0"/>
              <a:t>($000s)</a:t>
            </a:r>
            <a:endParaRPr lang="en-US" sz="1100"/>
          </a:p>
        </c:rich>
      </c:tx>
      <c:overlay val="0"/>
    </c:title>
    <c:autoTitleDeleted val="0"/>
    <c:plotArea>
      <c:layout/>
      <c:lineChart>
        <c:grouping val="standard"/>
        <c:varyColors val="0"/>
        <c:ser>
          <c:idx val="0"/>
          <c:order val="0"/>
          <c:tx>
            <c:strRef>
              <c:f>Graphs!$A$39</c:f>
              <c:strCache>
                <c:ptCount val="1"/>
                <c:pt idx="0">
                  <c:v>0</c:v>
                </c:pt>
              </c:strCache>
            </c:strRef>
          </c:tx>
          <c:marker>
            <c:symbol val="none"/>
          </c:marker>
          <c:cat>
            <c:strRef>
              <c:f>Graphs!$B$38:$H$38</c:f>
              <c:strCache>
                <c:ptCount val="6"/>
                <c:pt idx="0">
                  <c:v>20/21</c:v>
                </c:pt>
                <c:pt idx="1">
                  <c:v>22/23</c:v>
                </c:pt>
                <c:pt idx="2">
                  <c:v>24/25</c:v>
                </c:pt>
                <c:pt idx="3">
                  <c:v>26/27/28</c:v>
                </c:pt>
                <c:pt idx="4">
                  <c:v>29/30</c:v>
                </c:pt>
                <c:pt idx="5">
                  <c:v>31/32</c:v>
                </c:pt>
              </c:strCache>
            </c:strRef>
          </c:cat>
          <c:val>
            <c:numRef>
              <c:f>Graphs!$B$39:$H$39</c:f>
              <c:numCache>
                <c:formatCode>_(* #,##0_);_(* \(#,##0\);_(* "-"??_);_(@_)</c:formatCode>
                <c:ptCount val="7"/>
              </c:numCache>
            </c:numRef>
          </c:val>
          <c:smooth val="0"/>
          <c:extLst>
            <c:ext xmlns:c16="http://schemas.microsoft.com/office/drawing/2014/chart" uri="{C3380CC4-5D6E-409C-BE32-E72D297353CC}">
              <c16:uniqueId val="{00000000-CD10-4186-AA4F-F9CCE8909A02}"/>
            </c:ext>
          </c:extLst>
        </c:ser>
        <c:ser>
          <c:idx val="1"/>
          <c:order val="1"/>
          <c:tx>
            <c:strRef>
              <c:f>Graphs!$A$40</c:f>
              <c:strCache>
                <c:ptCount val="1"/>
                <c:pt idx="0">
                  <c:v>0</c:v>
                </c:pt>
              </c:strCache>
            </c:strRef>
          </c:tx>
          <c:marker>
            <c:symbol val="none"/>
          </c:marker>
          <c:cat>
            <c:strRef>
              <c:f>Graphs!$B$38:$H$38</c:f>
              <c:strCache>
                <c:ptCount val="6"/>
                <c:pt idx="0">
                  <c:v>20/21</c:v>
                </c:pt>
                <c:pt idx="1">
                  <c:v>22/23</c:v>
                </c:pt>
                <c:pt idx="2">
                  <c:v>24/25</c:v>
                </c:pt>
                <c:pt idx="3">
                  <c:v>26/27/28</c:v>
                </c:pt>
                <c:pt idx="4">
                  <c:v>29/30</c:v>
                </c:pt>
                <c:pt idx="5">
                  <c:v>31/32</c:v>
                </c:pt>
              </c:strCache>
            </c:strRef>
          </c:cat>
          <c:val>
            <c:numRef>
              <c:f>Graphs!$B$40:$H$40</c:f>
              <c:numCache>
                <c:formatCode>_(* #,##0_);_(* \(#,##0\);_(* "-"??_);_(@_)</c:formatCode>
                <c:ptCount val="7"/>
              </c:numCache>
            </c:numRef>
          </c:val>
          <c:smooth val="0"/>
          <c:extLst>
            <c:ext xmlns:c16="http://schemas.microsoft.com/office/drawing/2014/chart" uri="{C3380CC4-5D6E-409C-BE32-E72D297353CC}">
              <c16:uniqueId val="{00000001-CD10-4186-AA4F-F9CCE8909A02}"/>
            </c:ext>
          </c:extLst>
        </c:ser>
        <c:dLbls>
          <c:showLegendKey val="0"/>
          <c:showVal val="0"/>
          <c:showCatName val="0"/>
          <c:showSerName val="0"/>
          <c:showPercent val="0"/>
          <c:showBubbleSize val="0"/>
        </c:dLbls>
        <c:smooth val="0"/>
        <c:axId val="265056256"/>
        <c:axId val="265057792"/>
      </c:lineChart>
      <c:catAx>
        <c:axId val="265056256"/>
        <c:scaling>
          <c:orientation val="minMax"/>
        </c:scaling>
        <c:delete val="0"/>
        <c:axPos val="b"/>
        <c:numFmt formatCode="General" sourceLinked="1"/>
        <c:majorTickMark val="none"/>
        <c:minorTickMark val="none"/>
        <c:tickLblPos val="nextTo"/>
        <c:crossAx val="265057792"/>
        <c:crosses val="autoZero"/>
        <c:auto val="1"/>
        <c:lblAlgn val="ctr"/>
        <c:lblOffset val="100"/>
        <c:noMultiLvlLbl val="0"/>
      </c:catAx>
      <c:valAx>
        <c:axId val="265057792"/>
        <c:scaling>
          <c:orientation val="minMax"/>
          <c:min val="400000"/>
        </c:scaling>
        <c:delete val="0"/>
        <c:axPos val="l"/>
        <c:majorGridlines/>
        <c:numFmt formatCode="_(* #,##0_);_(* \(#,##0\);_(* &quot;-&quot;??_);_(@_)" sourceLinked="1"/>
        <c:majorTickMark val="none"/>
        <c:minorTickMark val="none"/>
        <c:tickLblPos val="nextTo"/>
        <c:spPr>
          <a:ln w="9525">
            <a:noFill/>
          </a:ln>
        </c:spPr>
        <c:crossAx val="26505625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BP-18 Final Proposal Capital Related Costs</a:t>
            </a:r>
          </a:p>
          <a:p>
            <a:pPr>
              <a:defRPr/>
            </a:pPr>
            <a:r>
              <a:rPr lang="en-US" sz="1100"/>
              <a:t>($000s)</a:t>
            </a:r>
          </a:p>
        </c:rich>
      </c:tx>
      <c:overlay val="0"/>
    </c:title>
    <c:autoTitleDeleted val="0"/>
    <c:plotArea>
      <c:layout/>
      <c:barChart>
        <c:barDir val="col"/>
        <c:grouping val="stacked"/>
        <c:varyColors val="0"/>
        <c:ser>
          <c:idx val="0"/>
          <c:order val="0"/>
          <c:tx>
            <c:strRef>
              <c:f>Graphs!$A$45</c:f>
              <c:strCache>
                <c:ptCount val="1"/>
                <c:pt idx="0">
                  <c:v>Depreciation &amp; Amortization</c:v>
                </c:pt>
              </c:strCache>
            </c:strRef>
          </c:tx>
          <c:invertIfNegative val="0"/>
          <c:dLbls>
            <c:dLbl>
              <c:idx val="0"/>
              <c:tx>
                <c:strRef>
                  <c:f>Graphs!$B$58</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{9D1902CB-B218-4761-BBD2-8B2419E9D3FE}</c15:txfldGUID>
                      <c15:f>Graphs!$B$58</c15:f>
                      <c15:dlblFieldTableCache>
                        <c:ptCount val="1"/>
                        <c:pt idx="0">
                          <c:v>#DIV/0!</c:v>
                        </c:pt>
                      </c15:dlblFieldTableCache>
                    </c15:dlblFTEntry>
                  </c15:dlblFieldTable>
                  <c15:showDataLabelsRange val="0"/>
                </c:ext>
                <c:ext xmlns:c16="http://schemas.microsoft.com/office/drawing/2014/chart" uri="{C3380CC4-5D6E-409C-BE32-E72D297353CC}">
                  <c16:uniqueId val="{00000000-82EF-4992-93E5-1823197E82B0}"/>
                </c:ext>
              </c:extLst>
            </c:dLbl>
            <c:dLbl>
              <c:idx val="1"/>
              <c:tx>
                <c:strRef>
                  <c:f>Graphs!$C$58</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{BC9C8727-975D-40CF-A118-E1539A7ED634}</c15:txfldGUID>
                      <c15:f>Graphs!$C$58</c15:f>
                      <c15:dlblFieldTableCache>
                        <c:ptCount val="1"/>
                        <c:pt idx="0">
                          <c:v>#DIV/0!</c:v>
                        </c:pt>
                      </c15:dlblFieldTableCache>
                    </c15:dlblFTEntry>
                  </c15:dlblFieldTable>
                  <c15:showDataLabelsRange val="0"/>
                </c:ext>
                <c:ext xmlns:c16="http://schemas.microsoft.com/office/drawing/2014/chart" uri="{C3380CC4-5D6E-409C-BE32-E72D297353CC}">
                  <c16:uniqueId val="{00000001-82EF-4992-93E5-1823197E82B0}"/>
                </c:ext>
              </c:extLst>
            </c:dLbl>
            <c:dLbl>
              <c:idx val="2"/>
              <c:tx>
                <c:strRef>
                  <c:f>Graphs!$D$58</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{06A6434B-6E92-461F-B344-35FD3EC96FBE}</c15:txfldGUID>
                      <c15:f>Graphs!$D$58</c15:f>
                      <c15:dlblFieldTableCache>
                        <c:ptCount val="1"/>
                        <c:pt idx="0">
                          <c:v>#DIV/0!</c:v>
                        </c:pt>
                      </c15:dlblFieldTableCache>
                    </c15:dlblFTEntry>
                  </c15:dlblFieldTable>
                  <c15:showDataLabelsRange val="0"/>
                </c:ext>
                <c:ext xmlns:c16="http://schemas.microsoft.com/office/drawing/2014/chart" uri="{C3380CC4-5D6E-409C-BE32-E72D297353CC}">
                  <c16:uniqueId val="{00000002-82EF-4992-93E5-1823197E82B0}"/>
                </c:ext>
              </c:extLst>
            </c:dLbl>
            <c:dLbl>
              <c:idx val="3"/>
              <c:tx>
                <c:strRef>
                  <c:f>Graphs!$E$58</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{0C20E912-8AFC-4B76-BDCF-C08D7E2B16D7}</c15:txfldGUID>
                      <c15:f>Graphs!$E$58</c15:f>
                      <c15:dlblFieldTableCache>
                        <c:ptCount val="1"/>
                        <c:pt idx="0">
                          <c:v>#DIV/0!</c:v>
                        </c:pt>
                      </c15:dlblFieldTableCache>
                    </c15:dlblFTEntry>
                  </c15:dlblFieldTable>
                  <c15:showDataLabelsRange val="0"/>
                </c:ext>
                <c:ext xmlns:c16="http://schemas.microsoft.com/office/drawing/2014/chart" uri="{C3380CC4-5D6E-409C-BE32-E72D297353CC}">
                  <c16:uniqueId val="{00000003-82EF-4992-93E5-1823197E82B0}"/>
                </c:ext>
              </c:extLst>
            </c:dLbl>
            <c:dLbl>
              <c:idx val="4"/>
              <c:tx>
                <c:strRef>
                  <c:f>Graphs!$F$58</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{842052E7-F892-4814-8B7D-375BC4BA02C9}</c15:txfldGUID>
                      <c15:f>Graphs!$F$58</c15:f>
                      <c15:dlblFieldTableCache>
                        <c:ptCount val="1"/>
                        <c:pt idx="0">
                          <c:v>#DIV/0!</c:v>
                        </c:pt>
                      </c15:dlblFieldTableCache>
                    </c15:dlblFTEntry>
                  </c15:dlblFieldTable>
                  <c15:showDataLabelsRange val="0"/>
                </c:ext>
                <c:ext xmlns:c16="http://schemas.microsoft.com/office/drawing/2014/chart" uri="{C3380CC4-5D6E-409C-BE32-E72D297353CC}">
                  <c16:uniqueId val="{00000004-82EF-4992-93E5-1823197E82B0}"/>
                </c:ext>
              </c:extLst>
            </c:dLbl>
            <c:dLbl>
              <c:idx val="5"/>
              <c:tx>
                <c:strRef>
                  <c:f>Graphs!$G$58</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{DB5C46EF-2ADB-4897-9FC0-FC7B0B287D52}</c15:txfldGUID>
                      <c15:f>Graphs!$G$58</c15:f>
                      <c15:dlblFieldTableCache>
                        <c:ptCount val="1"/>
                        <c:pt idx="0">
                          <c:v>#DIV/0!</c:v>
                        </c:pt>
                      </c15:dlblFieldTableCache>
                    </c15:dlblFTEntry>
                  </c15:dlblFieldTable>
                  <c15:showDataLabelsRange val="0"/>
                </c:ext>
                <c:ext xmlns:c16="http://schemas.microsoft.com/office/drawing/2014/chart" uri="{C3380CC4-5D6E-409C-BE32-E72D297353CC}">
                  <c16:uniqueId val="{00000005-82EF-4992-93E5-1823197E82B0}"/>
                </c:ext>
              </c:extLst>
            </c:dLbl>
            <c:dLbl>
              <c:idx val="6"/>
              <c:tx>
                <c:strRef>
                  <c:f>Graphs!$H$58</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{4C8B025E-FCF7-4499-B620-1F373CD6C83C}</c15:txfldGUID>
                      <c15:f>Graphs!$H$58</c15:f>
                      <c15:dlblFieldTableCache>
                        <c:ptCount val="1"/>
                        <c:pt idx="0">
                          <c:v>#DIV/0!</c:v>
                        </c:pt>
                      </c15:dlblFieldTableCache>
                    </c15:dlblFTEntry>
                  </c15:dlblFieldTable>
                  <c15:showDataLabelsRange val="0"/>
                </c:ext>
                <c:ext xmlns:c16="http://schemas.microsoft.com/office/drawing/2014/chart" uri="{C3380CC4-5D6E-409C-BE32-E72D297353CC}">
                  <c16:uniqueId val="{00000006-82EF-4992-93E5-1823197E82B0}"/>
                </c:ext>
              </c:extLst>
            </c:dLbl>
            <c:dLbl>
              <c:idx val="7"/>
              <c:tx>
                <c:strRef>
                  <c:f>Graphs!$I$58</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{CDC62C09-A4A9-4430-8F40-87BDE13C6648}</c15:txfldGUID>
                      <c15:f>Graphs!$I$58</c15:f>
                      <c15:dlblFieldTableCache>
                        <c:ptCount val="1"/>
                        <c:pt idx="0">
                          <c:v>#DIV/0!</c:v>
                        </c:pt>
                      </c15:dlblFieldTableCache>
                    </c15:dlblFTEntry>
                  </c15:dlblFieldTable>
                  <c15:showDataLabelsRange val="0"/>
                </c:ext>
                <c:ext xmlns:c16="http://schemas.microsoft.com/office/drawing/2014/chart" uri="{C3380CC4-5D6E-409C-BE32-E72D297353CC}">
                  <c16:uniqueId val="{00000007-82EF-4992-93E5-1823197E82B0}"/>
                </c:ext>
              </c:extLst>
            </c:dLbl>
            <c:dLbl>
              <c:idx val="8"/>
              <c:tx>
                <c:strRef>
                  <c:f>Graphs!$J$58</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{8049C87C-C705-458C-8CBA-D203C1B9F8B1}</c15:txfldGUID>
                      <c15:f>Graphs!$J$58</c15:f>
                      <c15:dlblFieldTableCache>
                        <c:ptCount val="1"/>
                        <c:pt idx="0">
                          <c:v>#DIV/0!</c:v>
                        </c:pt>
                      </c15:dlblFieldTableCache>
                    </c15:dlblFTEntry>
                  </c15:dlblFieldTable>
                  <c15:showDataLabelsRange val="0"/>
                </c:ext>
                <c:ext xmlns:c16="http://schemas.microsoft.com/office/drawing/2014/chart" uri="{C3380CC4-5D6E-409C-BE32-E72D297353CC}">
                  <c16:uniqueId val="{00000008-82EF-4992-93E5-1823197E82B0}"/>
                </c:ext>
              </c:extLst>
            </c:dLbl>
            <c:dLbl>
              <c:idx val="9"/>
              <c:tx>
                <c:strRef>
                  <c:f>Graphs!$K$58</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{7E370CAD-9B7B-4170-9FF2-F00C6901E5F0}</c15:txfldGUID>
                      <c15:f>Graphs!$K$58</c15:f>
                      <c15:dlblFieldTableCache>
                        <c:ptCount val="1"/>
                        <c:pt idx="0">
                          <c:v>#DIV/0!</c:v>
                        </c:pt>
                      </c15:dlblFieldTableCache>
                    </c15:dlblFTEntry>
                  </c15:dlblFieldTable>
                  <c15:showDataLabelsRange val="0"/>
                </c:ext>
                <c:ext xmlns:c16="http://schemas.microsoft.com/office/drawing/2014/chart" uri="{C3380CC4-5D6E-409C-BE32-E72D297353CC}">
                  <c16:uniqueId val="{00000009-82EF-4992-93E5-1823197E82B0}"/>
                </c:ext>
              </c:extLst>
            </c:dLbl>
            <c:dLbl>
              <c:idx val="10"/>
              <c:tx>
                <c:strRef>
                  <c:f>Graphs!$L$58</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{13EFE3B2-F317-461A-B327-3703811475A2}</c15:txfldGUID>
                      <c15:f>Graphs!$L$58</c15:f>
                      <c15:dlblFieldTableCache>
                        <c:ptCount val="1"/>
                        <c:pt idx="0">
                          <c:v>#DIV/0!</c:v>
                        </c:pt>
                      </c15:dlblFieldTableCache>
                    </c15:dlblFTEntry>
                  </c15:dlblFieldTable>
                  <c15:showDataLabelsRange val="0"/>
                </c:ext>
                <c:ext xmlns:c16="http://schemas.microsoft.com/office/drawing/2014/chart" uri="{C3380CC4-5D6E-409C-BE32-E72D297353CC}">
                  <c16:uniqueId val="{0000000A-82EF-4992-93E5-1823197E82B0}"/>
                </c:ext>
              </c:extLst>
            </c:dLbl>
            <c:dLbl>
              <c:idx val="11"/>
              <c:tx>
                <c:strRef>
                  <c:f>Graphs!$M$58</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{CAAFF331-0910-4813-94C9-0F79852B2900}</c15:txfldGUID>
                      <c15:f>Graphs!$M$58</c15:f>
                      <c15:dlblFieldTableCache>
                        <c:ptCount val="1"/>
                        <c:pt idx="0">
                          <c:v>#DIV/0!</c:v>
                        </c:pt>
                      </c15:dlblFieldTableCache>
                    </c15:dlblFTEntry>
                  </c15:dlblFieldTable>
                  <c15:showDataLabelsRange val="0"/>
                </c:ext>
                <c:ext xmlns:c16="http://schemas.microsoft.com/office/drawing/2014/chart" uri="{C3380CC4-5D6E-409C-BE32-E72D297353CC}">
                  <c16:uniqueId val="{0000000B-82EF-4992-93E5-1823197E82B0}"/>
                </c:ext>
              </c:extLst>
            </c:dLbl>
            <c:dLbl>
              <c:idx val="12"/>
              <c:tx>
                <c:strRef>
                  <c:f>Graphs!$N$58</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{8D88E90D-31DF-4CFC-8BB3-A91F39F8C3F9}</c15:txfldGUID>
                      <c15:f>Graphs!$N$58</c15:f>
                      <c15:dlblFieldTableCache>
                        <c:ptCount val="1"/>
                        <c:pt idx="0">
                          <c:v>#DIV/0!</c:v>
                        </c:pt>
                      </c15:dlblFieldTableCache>
                    </c15:dlblFTEntry>
                  </c15:dlblFieldTable>
                  <c15:showDataLabelsRange val="0"/>
                </c:ext>
                <c:ext xmlns:c16="http://schemas.microsoft.com/office/drawing/2014/chart" uri="{C3380CC4-5D6E-409C-BE32-E72D297353CC}">
                  <c16:uniqueId val="{0000000C-82EF-4992-93E5-1823197E82B0}"/>
                </c:ext>
              </c:extLst>
            </c:dLbl>
            <c:dLbl>
              <c:idx val="13"/>
              <c:tx>
                <c:strRef>
                  <c:f>Graphs!$O$58</c:f>
                  <c:strCache>
                    <c:ptCount val="1"/>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{1A291967-F153-40C6-A4CC-4F6C96667677}</c15:txfldGUID>
                      <c15:f>Graphs!$O$58</c15:f>
                      <c15:dlblFieldTableCache>
                        <c:ptCount val="1"/>
                      </c15:dlblFieldTableCache>
                    </c15:dlblFTEntry>
                  </c15:dlblFieldTable>
                  <c15:showDataLabelsRange val="0"/>
                </c:ext>
                <c:ext xmlns:c16="http://schemas.microsoft.com/office/drawing/2014/chart" uri="{C3380CC4-5D6E-409C-BE32-E72D297353CC}">
                  <c16:uniqueId val="{0000000D-82EF-4992-93E5-1823197E82B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Graphs!$B$44:$O$44</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Graphs!$B$45:$O$45</c:f>
              <c:numCache>
                <c:formatCode>_(* #,##0_);_(* \(#,##0\);_(* "-"??_);_(@_)</c:formatCode>
                <c:ptCount val="14"/>
              </c:numCache>
            </c:numRef>
          </c:val>
          <c:extLst>
            <c:ext xmlns:c16="http://schemas.microsoft.com/office/drawing/2014/chart" uri="{C3380CC4-5D6E-409C-BE32-E72D297353CC}">
              <c16:uniqueId val="{0000000E-82EF-4992-93E5-1823197E82B0}"/>
            </c:ext>
          </c:extLst>
        </c:ser>
        <c:ser>
          <c:idx val="1"/>
          <c:order val="1"/>
          <c:tx>
            <c:strRef>
              <c:f>Graphs!$A$46</c:f>
              <c:strCache>
                <c:ptCount val="1"/>
                <c:pt idx="0">
                  <c:v>Net Interest Expense</c:v>
                </c:pt>
              </c:strCache>
            </c:strRef>
          </c:tx>
          <c:invertIfNegative val="0"/>
          <c:dLbls>
            <c:dLbl>
              <c:idx val="0"/>
              <c:tx>
                <c:strRef>
                  <c:f>Graphs!$B$59</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{C59D97BF-3FC5-4E1E-8CB0-CE80C59FD7CB}</c15:txfldGUID>
                      <c15:f>Graphs!$B$59</c15:f>
                      <c15:dlblFieldTableCache>
                        <c:ptCount val="1"/>
                        <c:pt idx="0">
                          <c:v>#DIV/0!</c:v>
                        </c:pt>
                      </c15:dlblFieldTableCache>
                    </c15:dlblFTEntry>
                  </c15:dlblFieldTable>
                  <c15:showDataLabelsRange val="0"/>
                </c:ext>
                <c:ext xmlns:c16="http://schemas.microsoft.com/office/drawing/2014/chart" uri="{C3380CC4-5D6E-409C-BE32-E72D297353CC}">
                  <c16:uniqueId val="{0000000F-82EF-4992-93E5-1823197E82B0}"/>
                </c:ext>
              </c:extLst>
            </c:dLbl>
            <c:dLbl>
              <c:idx val="1"/>
              <c:tx>
                <c:strRef>
                  <c:f>Graphs!$C$59</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{056EC72B-4BA9-455E-A9B1-480427AA9703}</c15:txfldGUID>
                      <c15:f>Graphs!$C$59</c15:f>
                      <c15:dlblFieldTableCache>
                        <c:ptCount val="1"/>
                        <c:pt idx="0">
                          <c:v>#DIV/0!</c:v>
                        </c:pt>
                      </c15:dlblFieldTableCache>
                    </c15:dlblFTEntry>
                  </c15:dlblFieldTable>
                  <c15:showDataLabelsRange val="0"/>
                </c:ext>
                <c:ext xmlns:c16="http://schemas.microsoft.com/office/drawing/2014/chart" uri="{C3380CC4-5D6E-409C-BE32-E72D297353CC}">
                  <c16:uniqueId val="{00000010-82EF-4992-93E5-1823197E82B0}"/>
                </c:ext>
              </c:extLst>
            </c:dLbl>
            <c:dLbl>
              <c:idx val="2"/>
              <c:tx>
                <c:strRef>
                  <c:f>Graphs!$D$59</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{41F954BD-80BC-4330-91B1-AB0A792004E9}</c15:txfldGUID>
                      <c15:f>Graphs!$D$59</c15:f>
                      <c15:dlblFieldTableCache>
                        <c:ptCount val="1"/>
                        <c:pt idx="0">
                          <c:v>#DIV/0!</c:v>
                        </c:pt>
                      </c15:dlblFieldTableCache>
                    </c15:dlblFTEntry>
                  </c15:dlblFieldTable>
                  <c15:showDataLabelsRange val="0"/>
                </c:ext>
                <c:ext xmlns:c16="http://schemas.microsoft.com/office/drawing/2014/chart" uri="{C3380CC4-5D6E-409C-BE32-E72D297353CC}">
                  <c16:uniqueId val="{00000011-82EF-4992-93E5-1823197E82B0}"/>
                </c:ext>
              </c:extLst>
            </c:dLbl>
            <c:dLbl>
              <c:idx val="3"/>
              <c:tx>
                <c:strRef>
                  <c:f>Graphs!$E$59</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{4334CE63-6F1A-46B3-AA15-694709AB4E22}</c15:txfldGUID>
                      <c15:f>Graphs!$E$59</c15:f>
                      <c15:dlblFieldTableCache>
                        <c:ptCount val="1"/>
                        <c:pt idx="0">
                          <c:v>#DIV/0!</c:v>
                        </c:pt>
                      </c15:dlblFieldTableCache>
                    </c15:dlblFTEntry>
                  </c15:dlblFieldTable>
                  <c15:showDataLabelsRange val="0"/>
                </c:ext>
                <c:ext xmlns:c16="http://schemas.microsoft.com/office/drawing/2014/chart" uri="{C3380CC4-5D6E-409C-BE32-E72D297353CC}">
                  <c16:uniqueId val="{00000012-82EF-4992-93E5-1823197E82B0}"/>
                </c:ext>
              </c:extLst>
            </c:dLbl>
            <c:dLbl>
              <c:idx val="4"/>
              <c:tx>
                <c:strRef>
                  <c:f>Graphs!$F$59</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{9FAEFFAA-7BA7-4F49-83A5-B08A8FF4ACE5}</c15:txfldGUID>
                      <c15:f>Graphs!$F$59</c15:f>
                      <c15:dlblFieldTableCache>
                        <c:ptCount val="1"/>
                        <c:pt idx="0">
                          <c:v>#DIV/0!</c:v>
                        </c:pt>
                      </c15:dlblFieldTableCache>
                    </c15:dlblFTEntry>
                  </c15:dlblFieldTable>
                  <c15:showDataLabelsRange val="0"/>
                </c:ext>
                <c:ext xmlns:c16="http://schemas.microsoft.com/office/drawing/2014/chart" uri="{C3380CC4-5D6E-409C-BE32-E72D297353CC}">
                  <c16:uniqueId val="{00000013-82EF-4992-93E5-1823197E82B0}"/>
                </c:ext>
              </c:extLst>
            </c:dLbl>
            <c:dLbl>
              <c:idx val="5"/>
              <c:tx>
                <c:strRef>
                  <c:f>Graphs!$G$59</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{ECDF19F0-717B-4F07-8B75-7711CC98DD2E}</c15:txfldGUID>
                      <c15:f>Graphs!$G$59</c15:f>
                      <c15:dlblFieldTableCache>
                        <c:ptCount val="1"/>
                        <c:pt idx="0">
                          <c:v>#DIV/0!</c:v>
                        </c:pt>
                      </c15:dlblFieldTableCache>
                    </c15:dlblFTEntry>
                  </c15:dlblFieldTable>
                  <c15:showDataLabelsRange val="0"/>
                </c:ext>
                <c:ext xmlns:c16="http://schemas.microsoft.com/office/drawing/2014/chart" uri="{C3380CC4-5D6E-409C-BE32-E72D297353CC}">
                  <c16:uniqueId val="{00000014-82EF-4992-93E5-1823197E82B0}"/>
                </c:ext>
              </c:extLst>
            </c:dLbl>
            <c:dLbl>
              <c:idx val="6"/>
              <c:tx>
                <c:strRef>
                  <c:f>Graphs!$H$59</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{152BF847-5CDE-4105-B1B4-6720480CD867}</c15:txfldGUID>
                      <c15:f>Graphs!$H$59</c15:f>
                      <c15:dlblFieldTableCache>
                        <c:ptCount val="1"/>
                        <c:pt idx="0">
                          <c:v>#DIV/0!</c:v>
                        </c:pt>
                      </c15:dlblFieldTableCache>
                    </c15:dlblFTEntry>
                  </c15:dlblFieldTable>
                  <c15:showDataLabelsRange val="0"/>
                </c:ext>
                <c:ext xmlns:c16="http://schemas.microsoft.com/office/drawing/2014/chart" uri="{C3380CC4-5D6E-409C-BE32-E72D297353CC}">
                  <c16:uniqueId val="{00000015-82EF-4992-93E5-1823197E82B0}"/>
                </c:ext>
              </c:extLst>
            </c:dLbl>
            <c:dLbl>
              <c:idx val="7"/>
              <c:tx>
                <c:strRef>
                  <c:f>Graphs!$I$59</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{9789BB3F-E841-46E7-B149-D45115AB43CA}</c15:txfldGUID>
                      <c15:f>Graphs!$I$59</c15:f>
                      <c15:dlblFieldTableCache>
                        <c:ptCount val="1"/>
                        <c:pt idx="0">
                          <c:v>#DIV/0!</c:v>
                        </c:pt>
                      </c15:dlblFieldTableCache>
                    </c15:dlblFTEntry>
                  </c15:dlblFieldTable>
                  <c15:showDataLabelsRange val="0"/>
                </c:ext>
                <c:ext xmlns:c16="http://schemas.microsoft.com/office/drawing/2014/chart" uri="{C3380CC4-5D6E-409C-BE32-E72D297353CC}">
                  <c16:uniqueId val="{00000016-82EF-4992-93E5-1823197E82B0}"/>
                </c:ext>
              </c:extLst>
            </c:dLbl>
            <c:dLbl>
              <c:idx val="8"/>
              <c:tx>
                <c:strRef>
                  <c:f>Graphs!$J$59</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{10424AD7-245A-4954-A252-0739E1396E73}</c15:txfldGUID>
                      <c15:f>Graphs!$J$59</c15:f>
                      <c15:dlblFieldTableCache>
                        <c:ptCount val="1"/>
                        <c:pt idx="0">
                          <c:v>#DIV/0!</c:v>
                        </c:pt>
                      </c15:dlblFieldTableCache>
                    </c15:dlblFTEntry>
                  </c15:dlblFieldTable>
                  <c15:showDataLabelsRange val="0"/>
                </c:ext>
                <c:ext xmlns:c16="http://schemas.microsoft.com/office/drawing/2014/chart" uri="{C3380CC4-5D6E-409C-BE32-E72D297353CC}">
                  <c16:uniqueId val="{00000017-82EF-4992-93E5-1823197E82B0}"/>
                </c:ext>
              </c:extLst>
            </c:dLbl>
            <c:dLbl>
              <c:idx val="9"/>
              <c:tx>
                <c:strRef>
                  <c:f>Graphs!$K$59</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{630448CB-0A24-45CD-AEAC-94C2F65D4AF0}</c15:txfldGUID>
                      <c15:f>Graphs!$K$59</c15:f>
                      <c15:dlblFieldTableCache>
                        <c:ptCount val="1"/>
                        <c:pt idx="0">
                          <c:v>#DIV/0!</c:v>
                        </c:pt>
                      </c15:dlblFieldTableCache>
                    </c15:dlblFTEntry>
                  </c15:dlblFieldTable>
                  <c15:showDataLabelsRange val="0"/>
                </c:ext>
                <c:ext xmlns:c16="http://schemas.microsoft.com/office/drawing/2014/chart" uri="{C3380CC4-5D6E-409C-BE32-E72D297353CC}">
                  <c16:uniqueId val="{00000018-82EF-4992-93E5-1823197E82B0}"/>
                </c:ext>
              </c:extLst>
            </c:dLbl>
            <c:dLbl>
              <c:idx val="10"/>
              <c:tx>
                <c:strRef>
                  <c:f>Graphs!$L$59</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{550EB1BF-7A27-41AA-9B97-1DCE0EA18E88}</c15:txfldGUID>
                      <c15:f>Graphs!$L$59</c15:f>
                      <c15:dlblFieldTableCache>
                        <c:ptCount val="1"/>
                        <c:pt idx="0">
                          <c:v>#DIV/0!</c:v>
                        </c:pt>
                      </c15:dlblFieldTableCache>
                    </c15:dlblFTEntry>
                  </c15:dlblFieldTable>
                  <c15:showDataLabelsRange val="0"/>
                </c:ext>
                <c:ext xmlns:c16="http://schemas.microsoft.com/office/drawing/2014/chart" uri="{C3380CC4-5D6E-409C-BE32-E72D297353CC}">
                  <c16:uniqueId val="{00000019-82EF-4992-93E5-1823197E82B0}"/>
                </c:ext>
              </c:extLst>
            </c:dLbl>
            <c:dLbl>
              <c:idx val="11"/>
              <c:tx>
                <c:strRef>
                  <c:f>Graphs!$M$59</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{5F34F1DE-6390-4120-9410-D3375FC9FB94}</c15:txfldGUID>
                      <c15:f>Graphs!$M$59</c15:f>
                      <c15:dlblFieldTableCache>
                        <c:ptCount val="1"/>
                        <c:pt idx="0">
                          <c:v>#DIV/0!</c:v>
                        </c:pt>
                      </c15:dlblFieldTableCache>
                    </c15:dlblFTEntry>
                  </c15:dlblFieldTable>
                  <c15:showDataLabelsRange val="0"/>
                </c:ext>
                <c:ext xmlns:c16="http://schemas.microsoft.com/office/drawing/2014/chart" uri="{C3380CC4-5D6E-409C-BE32-E72D297353CC}">
                  <c16:uniqueId val="{0000001A-82EF-4992-93E5-1823197E82B0}"/>
                </c:ext>
              </c:extLst>
            </c:dLbl>
            <c:dLbl>
              <c:idx val="12"/>
              <c:tx>
                <c:strRef>
                  <c:f>Graphs!$N$59</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{5BCB2511-C457-4D11-B4E5-1024BD7C372D}</c15:txfldGUID>
                      <c15:f>Graphs!$N$59</c15:f>
                      <c15:dlblFieldTableCache>
                        <c:ptCount val="1"/>
                        <c:pt idx="0">
                          <c:v>#DIV/0!</c:v>
                        </c:pt>
                      </c15:dlblFieldTableCache>
                    </c15:dlblFTEntry>
                  </c15:dlblFieldTable>
                  <c15:showDataLabelsRange val="0"/>
                </c:ext>
                <c:ext xmlns:c16="http://schemas.microsoft.com/office/drawing/2014/chart" uri="{C3380CC4-5D6E-409C-BE32-E72D297353CC}">
                  <c16:uniqueId val="{0000001B-82EF-4992-93E5-1823197E82B0}"/>
                </c:ext>
              </c:extLst>
            </c:dLbl>
            <c:dLbl>
              <c:idx val="13"/>
              <c:tx>
                <c:strRef>
                  <c:f>Graphs!$O$59</c:f>
                  <c:strCache>
                    <c:ptCount val="1"/>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{B5BAB408-2E11-4576-8F63-41FE1E48DB66}</c15:txfldGUID>
                      <c15:f>Graphs!$O$59</c15:f>
                      <c15:dlblFieldTableCache>
                        <c:ptCount val="1"/>
                      </c15:dlblFieldTableCache>
                    </c15:dlblFTEntry>
                  </c15:dlblFieldTable>
                  <c15:showDataLabelsRange val="0"/>
                </c:ext>
                <c:ext xmlns:c16="http://schemas.microsoft.com/office/drawing/2014/chart" uri="{C3380CC4-5D6E-409C-BE32-E72D297353CC}">
                  <c16:uniqueId val="{0000001C-82EF-4992-93E5-1823197E82B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Graphs!$B$44:$O$44</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Graphs!$B$46:$O$46</c:f>
              <c:numCache>
                <c:formatCode>_(* #,##0_);_(* \(#,##0\);_(* "-"??_);_(@_)</c:formatCode>
                <c:ptCount val="14"/>
              </c:numCache>
            </c:numRef>
          </c:val>
          <c:extLst>
            <c:ext xmlns:c16="http://schemas.microsoft.com/office/drawing/2014/chart" uri="{C3380CC4-5D6E-409C-BE32-E72D297353CC}">
              <c16:uniqueId val="{0000001D-82EF-4992-93E5-1823197E82B0}"/>
            </c:ext>
          </c:extLst>
        </c:ser>
        <c:ser>
          <c:idx val="2"/>
          <c:order val="2"/>
          <c:tx>
            <c:strRef>
              <c:f>Graphs!$A$47</c:f>
              <c:strCache>
                <c:ptCount val="1"/>
                <c:pt idx="0">
                  <c:v>Minimum Required Net Revenue (MRNR)</c:v>
                </c:pt>
              </c:strCache>
            </c:strRef>
          </c:tx>
          <c:invertIfNegative val="0"/>
          <c:dLbls>
            <c:dLbl>
              <c:idx val="0"/>
              <c:tx>
                <c:strRef>
                  <c:f>Graphs!$B$60</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{A8EA7EB0-8582-4763-97C1-F4B62CE1881E}</c15:txfldGUID>
                      <c15:f>Graphs!$B$60</c15:f>
                      <c15:dlblFieldTableCache>
                        <c:ptCount val="1"/>
                        <c:pt idx="0">
                          <c:v>#DIV/0!</c:v>
                        </c:pt>
                      </c15:dlblFieldTableCache>
                    </c15:dlblFTEntry>
                  </c15:dlblFieldTable>
                  <c15:showDataLabelsRange val="0"/>
                </c:ext>
                <c:ext xmlns:c16="http://schemas.microsoft.com/office/drawing/2014/chart" uri="{C3380CC4-5D6E-409C-BE32-E72D297353CC}">
                  <c16:uniqueId val="{0000001E-82EF-4992-93E5-1823197E82B0}"/>
                </c:ext>
              </c:extLst>
            </c:dLbl>
            <c:dLbl>
              <c:idx val="1"/>
              <c:tx>
                <c:strRef>
                  <c:f>Graphs!$C$60</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{1BDF91BF-DA5B-4E12-98C1-AB1179D65BB8}</c15:txfldGUID>
                      <c15:f>Graphs!$C$60</c15:f>
                      <c15:dlblFieldTableCache>
                        <c:ptCount val="1"/>
                        <c:pt idx="0">
                          <c:v>#DIV/0!</c:v>
                        </c:pt>
                      </c15:dlblFieldTableCache>
                    </c15:dlblFTEntry>
                  </c15:dlblFieldTable>
                  <c15:showDataLabelsRange val="0"/>
                </c:ext>
                <c:ext xmlns:c16="http://schemas.microsoft.com/office/drawing/2014/chart" uri="{C3380CC4-5D6E-409C-BE32-E72D297353CC}">
                  <c16:uniqueId val="{0000001F-82EF-4992-93E5-1823197E82B0}"/>
                </c:ext>
              </c:extLst>
            </c:dLbl>
            <c:dLbl>
              <c:idx val="2"/>
              <c:tx>
                <c:strRef>
                  <c:f>Graphs!$D$60</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{C38EAD52-C70D-4149-BDFF-0251FB2656F7}</c15:txfldGUID>
                      <c15:f>Graphs!$D$60</c15:f>
                      <c15:dlblFieldTableCache>
                        <c:ptCount val="1"/>
                        <c:pt idx="0">
                          <c:v>#DIV/0!</c:v>
                        </c:pt>
                      </c15:dlblFieldTableCache>
                    </c15:dlblFTEntry>
                  </c15:dlblFieldTable>
                  <c15:showDataLabelsRange val="0"/>
                </c:ext>
                <c:ext xmlns:c16="http://schemas.microsoft.com/office/drawing/2014/chart" uri="{C3380CC4-5D6E-409C-BE32-E72D297353CC}">
                  <c16:uniqueId val="{00000020-82EF-4992-93E5-1823197E82B0}"/>
                </c:ext>
              </c:extLst>
            </c:dLbl>
            <c:dLbl>
              <c:idx val="3"/>
              <c:tx>
                <c:strRef>
                  <c:f>Graphs!$E$60</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{465389C8-7E32-4384-86C3-89DBC58C2B58}</c15:txfldGUID>
                      <c15:f>Graphs!$E$60</c15:f>
                      <c15:dlblFieldTableCache>
                        <c:ptCount val="1"/>
                        <c:pt idx="0">
                          <c:v>#DIV/0!</c:v>
                        </c:pt>
                      </c15:dlblFieldTableCache>
                    </c15:dlblFTEntry>
                  </c15:dlblFieldTable>
                  <c15:showDataLabelsRange val="0"/>
                </c:ext>
                <c:ext xmlns:c16="http://schemas.microsoft.com/office/drawing/2014/chart" uri="{C3380CC4-5D6E-409C-BE32-E72D297353CC}">
                  <c16:uniqueId val="{00000021-82EF-4992-93E5-1823197E82B0}"/>
                </c:ext>
              </c:extLst>
            </c:dLbl>
            <c:dLbl>
              <c:idx val="4"/>
              <c:tx>
                <c:strRef>
                  <c:f>Graphs!$F$60</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{ECB42A73-1FDF-458A-BFDF-E3174327F02C}</c15:txfldGUID>
                      <c15:f>Graphs!$F$60</c15:f>
                      <c15:dlblFieldTableCache>
                        <c:ptCount val="1"/>
                        <c:pt idx="0">
                          <c:v>#DIV/0!</c:v>
                        </c:pt>
                      </c15:dlblFieldTableCache>
                    </c15:dlblFTEntry>
                  </c15:dlblFieldTable>
                  <c15:showDataLabelsRange val="0"/>
                </c:ext>
                <c:ext xmlns:c16="http://schemas.microsoft.com/office/drawing/2014/chart" uri="{C3380CC4-5D6E-409C-BE32-E72D297353CC}">
                  <c16:uniqueId val="{00000022-82EF-4992-93E5-1823197E82B0}"/>
                </c:ext>
              </c:extLst>
            </c:dLbl>
            <c:dLbl>
              <c:idx val="5"/>
              <c:tx>
                <c:strRef>
                  <c:f>Graphs!$G$60</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{BEEE3EF6-9956-4983-B62D-2868878BE4A4}</c15:txfldGUID>
                      <c15:f>Graphs!$G$60</c15:f>
                      <c15:dlblFieldTableCache>
                        <c:ptCount val="1"/>
                        <c:pt idx="0">
                          <c:v>#DIV/0!</c:v>
                        </c:pt>
                      </c15:dlblFieldTableCache>
                    </c15:dlblFTEntry>
                  </c15:dlblFieldTable>
                  <c15:showDataLabelsRange val="0"/>
                </c:ext>
                <c:ext xmlns:c16="http://schemas.microsoft.com/office/drawing/2014/chart" uri="{C3380CC4-5D6E-409C-BE32-E72D297353CC}">
                  <c16:uniqueId val="{00000023-82EF-4992-93E5-1823197E82B0}"/>
                </c:ext>
              </c:extLst>
            </c:dLbl>
            <c:dLbl>
              <c:idx val="6"/>
              <c:tx>
                <c:strRef>
                  <c:f>Graphs!$H$60</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{47A6D813-BBC8-40F9-AC5C-66E6321A81E4}</c15:txfldGUID>
                      <c15:f>Graphs!$H$60</c15:f>
                      <c15:dlblFieldTableCache>
                        <c:ptCount val="1"/>
                        <c:pt idx="0">
                          <c:v>#DIV/0!</c:v>
                        </c:pt>
                      </c15:dlblFieldTableCache>
                    </c15:dlblFTEntry>
                  </c15:dlblFieldTable>
                  <c15:showDataLabelsRange val="0"/>
                </c:ext>
                <c:ext xmlns:c16="http://schemas.microsoft.com/office/drawing/2014/chart" uri="{C3380CC4-5D6E-409C-BE32-E72D297353CC}">
                  <c16:uniqueId val="{00000024-82EF-4992-93E5-1823197E82B0}"/>
                </c:ext>
              </c:extLst>
            </c:dLbl>
            <c:dLbl>
              <c:idx val="7"/>
              <c:tx>
                <c:strRef>
                  <c:f>Graphs!$I$60</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{AAC3903F-D353-46C0-AE4D-3760B4B2AED3}</c15:txfldGUID>
                      <c15:f>Graphs!$I$60</c15:f>
                      <c15:dlblFieldTableCache>
                        <c:ptCount val="1"/>
                        <c:pt idx="0">
                          <c:v>#DIV/0!</c:v>
                        </c:pt>
                      </c15:dlblFieldTableCache>
                    </c15:dlblFTEntry>
                  </c15:dlblFieldTable>
                  <c15:showDataLabelsRange val="0"/>
                </c:ext>
                <c:ext xmlns:c16="http://schemas.microsoft.com/office/drawing/2014/chart" uri="{C3380CC4-5D6E-409C-BE32-E72D297353CC}">
                  <c16:uniqueId val="{00000025-82EF-4992-93E5-1823197E82B0}"/>
                </c:ext>
              </c:extLst>
            </c:dLbl>
            <c:dLbl>
              <c:idx val="8"/>
              <c:tx>
                <c:strRef>
                  <c:f>Graphs!$J$60</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{FB25236E-1892-48BD-B4E5-8484A3A5E4B0}</c15:txfldGUID>
                      <c15:f>Graphs!$J$60</c15:f>
                      <c15:dlblFieldTableCache>
                        <c:ptCount val="1"/>
                        <c:pt idx="0">
                          <c:v>#DIV/0!</c:v>
                        </c:pt>
                      </c15:dlblFieldTableCache>
                    </c15:dlblFTEntry>
                  </c15:dlblFieldTable>
                  <c15:showDataLabelsRange val="0"/>
                </c:ext>
                <c:ext xmlns:c16="http://schemas.microsoft.com/office/drawing/2014/chart" uri="{C3380CC4-5D6E-409C-BE32-E72D297353CC}">
                  <c16:uniqueId val="{00000026-82EF-4992-93E5-1823197E82B0}"/>
                </c:ext>
              </c:extLst>
            </c:dLbl>
            <c:dLbl>
              <c:idx val="9"/>
              <c:tx>
                <c:strRef>
                  <c:f>Graphs!$K$60</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{DAAAD18F-14FF-4A74-929F-1E55D4AE154A}</c15:txfldGUID>
                      <c15:f>Graphs!$K$60</c15:f>
                      <c15:dlblFieldTableCache>
                        <c:ptCount val="1"/>
                        <c:pt idx="0">
                          <c:v>#DIV/0!</c:v>
                        </c:pt>
                      </c15:dlblFieldTableCache>
                    </c15:dlblFTEntry>
                  </c15:dlblFieldTable>
                  <c15:showDataLabelsRange val="0"/>
                </c:ext>
                <c:ext xmlns:c16="http://schemas.microsoft.com/office/drawing/2014/chart" uri="{C3380CC4-5D6E-409C-BE32-E72D297353CC}">
                  <c16:uniqueId val="{00000027-82EF-4992-93E5-1823197E82B0}"/>
                </c:ext>
              </c:extLst>
            </c:dLbl>
            <c:dLbl>
              <c:idx val="10"/>
              <c:tx>
                <c:strRef>
                  <c:f>Graphs!$L$60</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{8E5BC698-BADF-4A59-9AA2-3C80E9C9CDB4}</c15:txfldGUID>
                      <c15:f>Graphs!$L$60</c15:f>
                      <c15:dlblFieldTableCache>
                        <c:ptCount val="1"/>
                        <c:pt idx="0">
                          <c:v>#DIV/0!</c:v>
                        </c:pt>
                      </c15:dlblFieldTableCache>
                    </c15:dlblFTEntry>
                  </c15:dlblFieldTable>
                  <c15:showDataLabelsRange val="0"/>
                </c:ext>
                <c:ext xmlns:c16="http://schemas.microsoft.com/office/drawing/2014/chart" uri="{C3380CC4-5D6E-409C-BE32-E72D297353CC}">
                  <c16:uniqueId val="{00000028-82EF-4992-93E5-1823197E82B0}"/>
                </c:ext>
              </c:extLst>
            </c:dLbl>
            <c:dLbl>
              <c:idx val="11"/>
              <c:tx>
                <c:strRef>
                  <c:f>Graphs!$M$60</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{C7431A5D-12E9-4E19-AADA-C43A0610C2F2}</c15:txfldGUID>
                      <c15:f>Graphs!$M$60</c15:f>
                      <c15:dlblFieldTableCache>
                        <c:ptCount val="1"/>
                        <c:pt idx="0">
                          <c:v>#DIV/0!</c:v>
                        </c:pt>
                      </c15:dlblFieldTableCache>
                    </c15:dlblFTEntry>
                  </c15:dlblFieldTable>
                  <c15:showDataLabelsRange val="0"/>
                </c:ext>
                <c:ext xmlns:c16="http://schemas.microsoft.com/office/drawing/2014/chart" uri="{C3380CC4-5D6E-409C-BE32-E72D297353CC}">
                  <c16:uniqueId val="{00000029-82EF-4992-93E5-1823197E82B0}"/>
                </c:ext>
              </c:extLst>
            </c:dLbl>
            <c:dLbl>
              <c:idx val="12"/>
              <c:tx>
                <c:strRef>
                  <c:f>Graphs!$N$60</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{ABB3C900-3F27-4CA3-885F-7988B3070AA3}</c15:txfldGUID>
                      <c15:f>Graphs!$N$60</c15:f>
                      <c15:dlblFieldTableCache>
                        <c:ptCount val="1"/>
                        <c:pt idx="0">
                          <c:v>#DIV/0!</c:v>
                        </c:pt>
                      </c15:dlblFieldTableCache>
                    </c15:dlblFTEntry>
                  </c15:dlblFieldTable>
                  <c15:showDataLabelsRange val="0"/>
                </c:ext>
                <c:ext xmlns:c16="http://schemas.microsoft.com/office/drawing/2014/chart" uri="{C3380CC4-5D6E-409C-BE32-E72D297353CC}">
                  <c16:uniqueId val="{0000002A-82EF-4992-93E5-1823197E82B0}"/>
                </c:ext>
              </c:extLst>
            </c:dLbl>
            <c:dLbl>
              <c:idx val="13"/>
              <c:tx>
                <c:strRef>
                  <c:f>Graphs!$O$60</c:f>
                  <c:strCache>
                    <c:ptCount val="1"/>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{446595D4-3B1A-4901-B2E0-0DA0747F0B89}</c15:txfldGUID>
                      <c15:f>Graphs!$O$60</c15:f>
                      <c15:dlblFieldTableCache>
                        <c:ptCount val="1"/>
                      </c15:dlblFieldTableCache>
                    </c15:dlblFTEntry>
                  </c15:dlblFieldTable>
                  <c15:showDataLabelsRange val="0"/>
                </c:ext>
                <c:ext xmlns:c16="http://schemas.microsoft.com/office/drawing/2014/chart" uri="{C3380CC4-5D6E-409C-BE32-E72D297353CC}">
                  <c16:uniqueId val="{0000002B-82EF-4992-93E5-1823197E82B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Graphs!$B$44:$O$44</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Graphs!$B$47:$O$47</c:f>
              <c:numCache>
                <c:formatCode>_(* #,##0_);_(* \(#,##0\);_(* "-"??_);_(@_)</c:formatCode>
                <c:ptCount val="14"/>
              </c:numCache>
            </c:numRef>
          </c:val>
          <c:extLst>
            <c:ext xmlns:c16="http://schemas.microsoft.com/office/drawing/2014/chart" uri="{C3380CC4-5D6E-409C-BE32-E72D297353CC}">
              <c16:uniqueId val="{0000002C-82EF-4992-93E5-1823197E82B0}"/>
            </c:ext>
          </c:extLst>
        </c:ser>
        <c:dLbls>
          <c:dLblPos val="ctr"/>
          <c:showLegendKey val="0"/>
          <c:showVal val="1"/>
          <c:showCatName val="0"/>
          <c:showSerName val="0"/>
          <c:showPercent val="0"/>
          <c:showBubbleSize val="0"/>
        </c:dLbls>
        <c:gapWidth val="75"/>
        <c:overlap val="100"/>
        <c:axId val="265212288"/>
        <c:axId val="265213824"/>
      </c:barChart>
      <c:catAx>
        <c:axId val="265212288"/>
        <c:scaling>
          <c:orientation val="minMax"/>
        </c:scaling>
        <c:delete val="0"/>
        <c:axPos val="b"/>
        <c:numFmt formatCode="General" sourceLinked="1"/>
        <c:majorTickMark val="none"/>
        <c:minorTickMark val="none"/>
        <c:tickLblPos val="nextTo"/>
        <c:crossAx val="265213824"/>
        <c:crosses val="autoZero"/>
        <c:auto val="1"/>
        <c:lblAlgn val="ctr"/>
        <c:lblOffset val="100"/>
        <c:noMultiLvlLbl val="0"/>
      </c:catAx>
      <c:valAx>
        <c:axId val="265213824"/>
        <c:scaling>
          <c:orientation val="minMax"/>
        </c:scaling>
        <c:delete val="0"/>
        <c:axPos val="l"/>
        <c:majorGridlines/>
        <c:numFmt formatCode="_(* #,##0_);_(* \(#,##0\);_(* &quot;-&quot;??_);_(@_)" sourceLinked="1"/>
        <c:majorTickMark val="none"/>
        <c:minorTickMark val="none"/>
        <c:tickLblPos val="nextTo"/>
        <c:spPr>
          <a:ln w="9525">
            <a:noFill/>
          </a:ln>
        </c:spPr>
        <c:crossAx val="26521228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BP-18 Final Proposal Revenue Requirement</a:t>
            </a:r>
          </a:p>
          <a:p>
            <a:pPr>
              <a:defRPr/>
            </a:pPr>
            <a:r>
              <a:rPr lang="en-US" sz="1100"/>
              <a:t>($000s)</a:t>
            </a:r>
            <a:endParaRPr lang="en-US"/>
          </a:p>
        </c:rich>
      </c:tx>
      <c:overlay val="0"/>
    </c:title>
    <c:autoTitleDeleted val="0"/>
    <c:plotArea>
      <c:layout/>
      <c:barChart>
        <c:barDir val="col"/>
        <c:grouping val="stacked"/>
        <c:varyColors val="0"/>
        <c:ser>
          <c:idx val="0"/>
          <c:order val="0"/>
          <c:tx>
            <c:strRef>
              <c:f>Graphs!$A$51</c:f>
              <c:strCache>
                <c:ptCount val="1"/>
                <c:pt idx="0">
                  <c:v>IPR Costs</c:v>
                </c:pt>
              </c:strCache>
            </c:strRef>
          </c:tx>
          <c:invertIfNegative val="0"/>
          <c:dLbls>
            <c:dLbl>
              <c:idx val="0"/>
              <c:tx>
                <c:strRef>
                  <c:f>Graphs!$B$64</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{AA837F7E-C6F8-411B-B0C6-3E4C7AC3D50E}</c15:txfldGUID>
                      <c15:f>Graphs!$B$64</c15:f>
                      <c15:dlblFieldTableCache>
                        <c:ptCount val="1"/>
                        <c:pt idx="0">
                          <c:v>#DIV/0!</c:v>
                        </c:pt>
                      </c15:dlblFieldTableCache>
                    </c15:dlblFTEntry>
                  </c15:dlblFieldTable>
                  <c15:showDataLabelsRange val="0"/>
                </c:ext>
                <c:ext xmlns:c16="http://schemas.microsoft.com/office/drawing/2014/chart" uri="{C3380CC4-5D6E-409C-BE32-E72D297353CC}">
                  <c16:uniqueId val="{00000000-C0A6-4569-AC31-BA846898B0C1}"/>
                </c:ext>
              </c:extLst>
            </c:dLbl>
            <c:dLbl>
              <c:idx val="1"/>
              <c:tx>
                <c:strRef>
                  <c:f>Graphs!$C$64</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{ED75898F-E69D-4F7B-BBB0-5C0B1EE7FE3D}</c15:txfldGUID>
                      <c15:f>Graphs!$C$64</c15:f>
                      <c15:dlblFieldTableCache>
                        <c:ptCount val="1"/>
                        <c:pt idx="0">
                          <c:v>#DIV/0!</c:v>
                        </c:pt>
                      </c15:dlblFieldTableCache>
                    </c15:dlblFTEntry>
                  </c15:dlblFieldTable>
                  <c15:showDataLabelsRange val="0"/>
                </c:ext>
                <c:ext xmlns:c16="http://schemas.microsoft.com/office/drawing/2014/chart" uri="{C3380CC4-5D6E-409C-BE32-E72D297353CC}">
                  <c16:uniqueId val="{00000001-C0A6-4569-AC31-BA846898B0C1}"/>
                </c:ext>
              </c:extLst>
            </c:dLbl>
            <c:dLbl>
              <c:idx val="2"/>
              <c:tx>
                <c:strRef>
                  <c:f>Graphs!$D$64</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{B2CCFF5F-D90F-4115-956E-AB7B8734C547}</c15:txfldGUID>
                      <c15:f>Graphs!$D$64</c15:f>
                      <c15:dlblFieldTableCache>
                        <c:ptCount val="1"/>
                        <c:pt idx="0">
                          <c:v>#DIV/0!</c:v>
                        </c:pt>
                      </c15:dlblFieldTableCache>
                    </c15:dlblFTEntry>
                  </c15:dlblFieldTable>
                  <c15:showDataLabelsRange val="0"/>
                </c:ext>
                <c:ext xmlns:c16="http://schemas.microsoft.com/office/drawing/2014/chart" uri="{C3380CC4-5D6E-409C-BE32-E72D297353CC}">
                  <c16:uniqueId val="{00000002-C0A6-4569-AC31-BA846898B0C1}"/>
                </c:ext>
              </c:extLst>
            </c:dLbl>
            <c:dLbl>
              <c:idx val="3"/>
              <c:tx>
                <c:strRef>
                  <c:f>Graphs!$E$64</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{B7B17BBA-FAB1-4351-97F7-22817ED0CD54}</c15:txfldGUID>
                      <c15:f>Graphs!$E$64</c15:f>
                      <c15:dlblFieldTableCache>
                        <c:ptCount val="1"/>
                        <c:pt idx="0">
                          <c:v>#DIV/0!</c:v>
                        </c:pt>
                      </c15:dlblFieldTableCache>
                    </c15:dlblFTEntry>
                  </c15:dlblFieldTable>
                  <c15:showDataLabelsRange val="0"/>
                </c:ext>
                <c:ext xmlns:c16="http://schemas.microsoft.com/office/drawing/2014/chart" uri="{C3380CC4-5D6E-409C-BE32-E72D297353CC}">
                  <c16:uniqueId val="{00000003-C0A6-4569-AC31-BA846898B0C1}"/>
                </c:ext>
              </c:extLst>
            </c:dLbl>
            <c:dLbl>
              <c:idx val="4"/>
              <c:tx>
                <c:strRef>
                  <c:f>Graphs!$F$64</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{FAE9744B-2DB6-4ADE-9D75-416C173879FF}</c15:txfldGUID>
                      <c15:f>Graphs!$F$64</c15:f>
                      <c15:dlblFieldTableCache>
                        <c:ptCount val="1"/>
                        <c:pt idx="0">
                          <c:v>#DIV/0!</c:v>
                        </c:pt>
                      </c15:dlblFieldTableCache>
                    </c15:dlblFTEntry>
                  </c15:dlblFieldTable>
                  <c15:showDataLabelsRange val="0"/>
                </c:ext>
                <c:ext xmlns:c16="http://schemas.microsoft.com/office/drawing/2014/chart" uri="{C3380CC4-5D6E-409C-BE32-E72D297353CC}">
                  <c16:uniqueId val="{00000004-C0A6-4569-AC31-BA846898B0C1}"/>
                </c:ext>
              </c:extLst>
            </c:dLbl>
            <c:dLbl>
              <c:idx val="5"/>
              <c:tx>
                <c:strRef>
                  <c:f>Graphs!$G$64</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{6BFF3FE9-DAF3-4595-B02A-8262C23AC588}</c15:txfldGUID>
                      <c15:f>Graphs!$G$64</c15:f>
                      <c15:dlblFieldTableCache>
                        <c:ptCount val="1"/>
                        <c:pt idx="0">
                          <c:v>#DIV/0!</c:v>
                        </c:pt>
                      </c15:dlblFieldTableCache>
                    </c15:dlblFTEntry>
                  </c15:dlblFieldTable>
                  <c15:showDataLabelsRange val="0"/>
                </c:ext>
                <c:ext xmlns:c16="http://schemas.microsoft.com/office/drawing/2014/chart" uri="{C3380CC4-5D6E-409C-BE32-E72D297353CC}">
                  <c16:uniqueId val="{00000005-C0A6-4569-AC31-BA846898B0C1}"/>
                </c:ext>
              </c:extLst>
            </c:dLbl>
            <c:dLbl>
              <c:idx val="6"/>
              <c:tx>
                <c:strRef>
                  <c:f>Graphs!$H$64</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{2BF34334-CD90-47AF-83D9-052276390DD4}</c15:txfldGUID>
                      <c15:f>Graphs!$H$64</c15:f>
                      <c15:dlblFieldTableCache>
                        <c:ptCount val="1"/>
                        <c:pt idx="0">
                          <c:v>#DIV/0!</c:v>
                        </c:pt>
                      </c15:dlblFieldTableCache>
                    </c15:dlblFTEntry>
                  </c15:dlblFieldTable>
                  <c15:showDataLabelsRange val="0"/>
                </c:ext>
                <c:ext xmlns:c16="http://schemas.microsoft.com/office/drawing/2014/chart" uri="{C3380CC4-5D6E-409C-BE32-E72D297353CC}">
                  <c16:uniqueId val="{00000006-C0A6-4569-AC31-BA846898B0C1}"/>
                </c:ext>
              </c:extLst>
            </c:dLbl>
            <c:dLbl>
              <c:idx val="7"/>
              <c:tx>
                <c:strRef>
                  <c:f>Graphs!$I$64</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{59310360-0DA3-4257-94DB-BE117F18B732}</c15:txfldGUID>
                      <c15:f>Graphs!$I$64</c15:f>
                      <c15:dlblFieldTableCache>
                        <c:ptCount val="1"/>
                        <c:pt idx="0">
                          <c:v>#DIV/0!</c:v>
                        </c:pt>
                      </c15:dlblFieldTableCache>
                    </c15:dlblFTEntry>
                  </c15:dlblFieldTable>
                  <c15:showDataLabelsRange val="0"/>
                </c:ext>
                <c:ext xmlns:c16="http://schemas.microsoft.com/office/drawing/2014/chart" uri="{C3380CC4-5D6E-409C-BE32-E72D297353CC}">
                  <c16:uniqueId val="{00000007-C0A6-4569-AC31-BA846898B0C1}"/>
                </c:ext>
              </c:extLst>
            </c:dLbl>
            <c:dLbl>
              <c:idx val="8"/>
              <c:tx>
                <c:strRef>
                  <c:f>Graphs!$J$64</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{0B99C7D1-EF06-421B-B193-8E14C2743CC9}</c15:txfldGUID>
                      <c15:f>Graphs!$J$64</c15:f>
                      <c15:dlblFieldTableCache>
                        <c:ptCount val="1"/>
                        <c:pt idx="0">
                          <c:v>#DIV/0!</c:v>
                        </c:pt>
                      </c15:dlblFieldTableCache>
                    </c15:dlblFTEntry>
                  </c15:dlblFieldTable>
                  <c15:showDataLabelsRange val="0"/>
                </c:ext>
                <c:ext xmlns:c16="http://schemas.microsoft.com/office/drawing/2014/chart" uri="{C3380CC4-5D6E-409C-BE32-E72D297353CC}">
                  <c16:uniqueId val="{00000008-C0A6-4569-AC31-BA846898B0C1}"/>
                </c:ext>
              </c:extLst>
            </c:dLbl>
            <c:dLbl>
              <c:idx val="9"/>
              <c:tx>
                <c:strRef>
                  <c:f>Graphs!$K$64</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{A3996AFD-5FF5-49F6-9FC1-0B5CACE9B89D}</c15:txfldGUID>
                      <c15:f>Graphs!$K$64</c15:f>
                      <c15:dlblFieldTableCache>
                        <c:ptCount val="1"/>
                        <c:pt idx="0">
                          <c:v>#DIV/0!</c:v>
                        </c:pt>
                      </c15:dlblFieldTableCache>
                    </c15:dlblFTEntry>
                  </c15:dlblFieldTable>
                  <c15:showDataLabelsRange val="0"/>
                </c:ext>
                <c:ext xmlns:c16="http://schemas.microsoft.com/office/drawing/2014/chart" uri="{C3380CC4-5D6E-409C-BE32-E72D297353CC}">
                  <c16:uniqueId val="{00000009-C0A6-4569-AC31-BA846898B0C1}"/>
                </c:ext>
              </c:extLst>
            </c:dLbl>
            <c:dLbl>
              <c:idx val="10"/>
              <c:tx>
                <c:strRef>
                  <c:f>Graphs!$L$64</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{403CC19E-BF07-4210-854C-192533332CA7}</c15:txfldGUID>
                      <c15:f>Graphs!$L$64</c15:f>
                      <c15:dlblFieldTableCache>
                        <c:ptCount val="1"/>
                        <c:pt idx="0">
                          <c:v>#DIV/0!</c:v>
                        </c:pt>
                      </c15:dlblFieldTableCache>
                    </c15:dlblFTEntry>
                  </c15:dlblFieldTable>
                  <c15:showDataLabelsRange val="0"/>
                </c:ext>
                <c:ext xmlns:c16="http://schemas.microsoft.com/office/drawing/2014/chart" uri="{C3380CC4-5D6E-409C-BE32-E72D297353CC}">
                  <c16:uniqueId val="{0000000A-C0A6-4569-AC31-BA846898B0C1}"/>
                </c:ext>
              </c:extLst>
            </c:dLbl>
            <c:dLbl>
              <c:idx val="11"/>
              <c:tx>
                <c:strRef>
                  <c:f>Graphs!$M$64</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{50F30BA5-69E5-4B75-9000-A90D36636B8F}</c15:txfldGUID>
                      <c15:f>Graphs!$M$64</c15:f>
                      <c15:dlblFieldTableCache>
                        <c:ptCount val="1"/>
                        <c:pt idx="0">
                          <c:v>#DIV/0!</c:v>
                        </c:pt>
                      </c15:dlblFieldTableCache>
                    </c15:dlblFTEntry>
                  </c15:dlblFieldTable>
                  <c15:showDataLabelsRange val="0"/>
                </c:ext>
                <c:ext xmlns:c16="http://schemas.microsoft.com/office/drawing/2014/chart" uri="{C3380CC4-5D6E-409C-BE32-E72D297353CC}">
                  <c16:uniqueId val="{0000000B-C0A6-4569-AC31-BA846898B0C1}"/>
                </c:ext>
              </c:extLst>
            </c:dLbl>
            <c:dLbl>
              <c:idx val="12"/>
              <c:tx>
                <c:strRef>
                  <c:f>Graphs!$N$64</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{CEACFB0C-AE10-41AD-A1C9-4ABBDEB0525E}</c15:txfldGUID>
                      <c15:f>Graphs!$N$64</c15:f>
                      <c15:dlblFieldTableCache>
                        <c:ptCount val="1"/>
                        <c:pt idx="0">
                          <c:v>#DIV/0!</c:v>
                        </c:pt>
                      </c15:dlblFieldTableCache>
                    </c15:dlblFTEntry>
                  </c15:dlblFieldTable>
                  <c15:showDataLabelsRange val="0"/>
                </c:ext>
                <c:ext xmlns:c16="http://schemas.microsoft.com/office/drawing/2014/chart" uri="{C3380CC4-5D6E-409C-BE32-E72D297353CC}">
                  <c16:uniqueId val="{0000000C-C0A6-4569-AC31-BA846898B0C1}"/>
                </c:ext>
              </c:extLst>
            </c:dLbl>
            <c:dLbl>
              <c:idx val="13"/>
              <c:tx>
                <c:strRef>
                  <c:f>Graphs!$O$64</c:f>
                  <c:strCache>
                    <c:ptCount val="1"/>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{7DA78CD5-A40B-4C50-9FDD-2C43269CF59E}</c15:txfldGUID>
                      <c15:f>Graphs!$O$64</c15:f>
                      <c15:dlblFieldTableCache>
                        <c:ptCount val="1"/>
                      </c15:dlblFieldTableCache>
                    </c15:dlblFTEntry>
                  </c15:dlblFieldTable>
                  <c15:showDataLabelsRange val="0"/>
                </c:ext>
                <c:ext xmlns:c16="http://schemas.microsoft.com/office/drawing/2014/chart" uri="{C3380CC4-5D6E-409C-BE32-E72D297353CC}">
                  <c16:uniqueId val="{0000000D-C0A6-4569-AC31-BA846898B0C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Graphs!$B$50:$O$50</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Graphs!$B$51:$O$51</c:f>
              <c:numCache>
                <c:formatCode>_(* #,##0_);_(* \(#,##0\);_(* "-"??_);_(@_)</c:formatCode>
                <c:ptCount val="14"/>
              </c:numCache>
            </c:numRef>
          </c:val>
          <c:extLst>
            <c:ext xmlns:c16="http://schemas.microsoft.com/office/drawing/2014/chart" uri="{C3380CC4-5D6E-409C-BE32-E72D297353CC}">
              <c16:uniqueId val="{0000000E-C0A6-4569-AC31-BA846898B0C1}"/>
            </c:ext>
          </c:extLst>
        </c:ser>
        <c:ser>
          <c:idx val="1"/>
          <c:order val="1"/>
          <c:tx>
            <c:strRef>
              <c:f>Graphs!$A$52</c:f>
              <c:strCache>
                <c:ptCount val="1"/>
                <c:pt idx="0">
                  <c:v>Non-IPR Costs (BBL Ancillary Services)</c:v>
                </c:pt>
              </c:strCache>
            </c:strRef>
          </c:tx>
          <c:invertIfNegative val="0"/>
          <c:dLbls>
            <c:dLbl>
              <c:idx val="0"/>
              <c:tx>
                <c:strRef>
                  <c:f>Graphs!$B$65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{78C23973-3E03-473D-A374-FC2BBDF68C8A}</c15:txfldGUID>
                      <c15:f>Graphs!$B$65</c15:f>
                      <c15:dlblFieldTableCache>
                        <c:ptCount val="1"/>
                        <c:pt idx="0">
                          <c:v>#DIV/0!</c:v>
                        </c:pt>
                      </c15:dlblFieldTableCache>
                    </c15:dlblFTEntry>
                  </c15:dlblFieldTable>
                  <c15:showDataLabelsRange val="0"/>
                </c:ext>
                <c:ext xmlns:c16="http://schemas.microsoft.com/office/drawing/2014/chart" uri="{C3380CC4-5D6E-409C-BE32-E72D297353CC}">
                  <c16:uniqueId val="{0000000F-C0A6-4569-AC31-BA846898B0C1}"/>
                </c:ext>
              </c:extLst>
            </c:dLbl>
            <c:dLbl>
              <c:idx val="1"/>
              <c:tx>
                <c:strRef>
                  <c:f>Graphs!$C$65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{EB616C7D-2D07-45FE-8277-B0F9C8562F77}</c15:txfldGUID>
                      <c15:f>Graphs!$C$65</c15:f>
                      <c15:dlblFieldTableCache>
                        <c:ptCount val="1"/>
                        <c:pt idx="0">
                          <c:v>#DIV/0!</c:v>
                        </c:pt>
                      </c15:dlblFieldTableCache>
                    </c15:dlblFTEntry>
                  </c15:dlblFieldTable>
                  <c15:showDataLabelsRange val="0"/>
                </c:ext>
                <c:ext xmlns:c16="http://schemas.microsoft.com/office/drawing/2014/chart" uri="{C3380CC4-5D6E-409C-BE32-E72D297353CC}">
                  <c16:uniqueId val="{00000010-C0A6-4569-AC31-BA846898B0C1}"/>
                </c:ext>
              </c:extLst>
            </c:dLbl>
            <c:dLbl>
              <c:idx val="2"/>
              <c:tx>
                <c:strRef>
                  <c:f>Graphs!$D$65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{15B6B244-BC9A-4B04-A842-4E256D50516F}</c15:txfldGUID>
                      <c15:f>Graphs!$D$65</c15:f>
                      <c15:dlblFieldTableCache>
                        <c:ptCount val="1"/>
                        <c:pt idx="0">
                          <c:v>#DIV/0!</c:v>
                        </c:pt>
                      </c15:dlblFieldTableCache>
                    </c15:dlblFTEntry>
                  </c15:dlblFieldTable>
                  <c15:showDataLabelsRange val="0"/>
                </c:ext>
                <c:ext xmlns:c16="http://schemas.microsoft.com/office/drawing/2014/chart" uri="{C3380CC4-5D6E-409C-BE32-E72D297353CC}">
                  <c16:uniqueId val="{00000011-C0A6-4569-AC31-BA846898B0C1}"/>
                </c:ext>
              </c:extLst>
            </c:dLbl>
            <c:dLbl>
              <c:idx val="3"/>
              <c:tx>
                <c:strRef>
                  <c:f>Graphs!$E$65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{F88B5F9B-0DA6-49DF-AF49-A7381A491839}</c15:txfldGUID>
                      <c15:f>Graphs!$E$65</c15:f>
                      <c15:dlblFieldTableCache>
                        <c:ptCount val="1"/>
                        <c:pt idx="0">
                          <c:v>#DIV/0!</c:v>
                        </c:pt>
                      </c15:dlblFieldTableCache>
                    </c15:dlblFTEntry>
                  </c15:dlblFieldTable>
                  <c15:showDataLabelsRange val="0"/>
                </c:ext>
                <c:ext xmlns:c16="http://schemas.microsoft.com/office/drawing/2014/chart" uri="{C3380CC4-5D6E-409C-BE32-E72D297353CC}">
                  <c16:uniqueId val="{00000012-C0A6-4569-AC31-BA846898B0C1}"/>
                </c:ext>
              </c:extLst>
            </c:dLbl>
            <c:dLbl>
              <c:idx val="4"/>
              <c:tx>
                <c:strRef>
                  <c:f>Graphs!$F$65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{A693D44F-04E8-43B5-A827-BBFFE9FCFBB6}</c15:txfldGUID>
                      <c15:f>Graphs!$F$65</c15:f>
                      <c15:dlblFieldTableCache>
                        <c:ptCount val="1"/>
                        <c:pt idx="0">
                          <c:v>#DIV/0!</c:v>
                        </c:pt>
                      </c15:dlblFieldTableCache>
                    </c15:dlblFTEntry>
                  </c15:dlblFieldTable>
                  <c15:showDataLabelsRange val="0"/>
                </c:ext>
                <c:ext xmlns:c16="http://schemas.microsoft.com/office/drawing/2014/chart" uri="{C3380CC4-5D6E-409C-BE32-E72D297353CC}">
                  <c16:uniqueId val="{00000013-C0A6-4569-AC31-BA846898B0C1}"/>
                </c:ext>
              </c:extLst>
            </c:dLbl>
            <c:dLbl>
              <c:idx val="5"/>
              <c:tx>
                <c:strRef>
                  <c:f>Graphs!$G$65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{5B9AA51C-73DF-4A07-9F62-1DB90CF97180}</c15:txfldGUID>
                      <c15:f>Graphs!$G$65</c15:f>
                      <c15:dlblFieldTableCache>
                        <c:ptCount val="1"/>
                        <c:pt idx="0">
                          <c:v>#DIV/0!</c:v>
                        </c:pt>
                      </c15:dlblFieldTableCache>
                    </c15:dlblFTEntry>
                  </c15:dlblFieldTable>
                  <c15:showDataLabelsRange val="0"/>
                </c:ext>
                <c:ext xmlns:c16="http://schemas.microsoft.com/office/drawing/2014/chart" uri="{C3380CC4-5D6E-409C-BE32-E72D297353CC}">
                  <c16:uniqueId val="{00000014-C0A6-4569-AC31-BA846898B0C1}"/>
                </c:ext>
              </c:extLst>
            </c:dLbl>
            <c:dLbl>
              <c:idx val="6"/>
              <c:tx>
                <c:strRef>
                  <c:f>Graphs!$H$65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{69E17420-C413-4844-A76E-CCEAAE2DBF5F}</c15:txfldGUID>
                      <c15:f>Graphs!$H$65</c15:f>
                      <c15:dlblFieldTableCache>
                        <c:ptCount val="1"/>
                        <c:pt idx="0">
                          <c:v>#DIV/0!</c:v>
                        </c:pt>
                      </c15:dlblFieldTableCache>
                    </c15:dlblFTEntry>
                  </c15:dlblFieldTable>
                  <c15:showDataLabelsRange val="0"/>
                </c:ext>
                <c:ext xmlns:c16="http://schemas.microsoft.com/office/drawing/2014/chart" uri="{C3380CC4-5D6E-409C-BE32-E72D297353CC}">
                  <c16:uniqueId val="{00000015-C0A6-4569-AC31-BA846898B0C1}"/>
                </c:ext>
              </c:extLst>
            </c:dLbl>
            <c:dLbl>
              <c:idx val="7"/>
              <c:tx>
                <c:strRef>
                  <c:f>Graphs!$I$65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{DB13E2DB-D43C-4190-BFB2-48C8B7455140}</c15:txfldGUID>
                      <c15:f>Graphs!$I$65</c15:f>
                      <c15:dlblFieldTableCache>
                        <c:ptCount val="1"/>
                        <c:pt idx="0">
                          <c:v>#DIV/0!</c:v>
                        </c:pt>
                      </c15:dlblFieldTableCache>
                    </c15:dlblFTEntry>
                  </c15:dlblFieldTable>
                  <c15:showDataLabelsRange val="0"/>
                </c:ext>
                <c:ext xmlns:c16="http://schemas.microsoft.com/office/drawing/2014/chart" uri="{C3380CC4-5D6E-409C-BE32-E72D297353CC}">
                  <c16:uniqueId val="{00000016-C0A6-4569-AC31-BA846898B0C1}"/>
                </c:ext>
              </c:extLst>
            </c:dLbl>
            <c:dLbl>
              <c:idx val="8"/>
              <c:tx>
                <c:strRef>
                  <c:f>Graphs!$J$65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{FA1B15F7-3A13-41F4-815B-A527E6C99E7E}</c15:txfldGUID>
                      <c15:f>Graphs!$J$65</c15:f>
                      <c15:dlblFieldTableCache>
                        <c:ptCount val="1"/>
                        <c:pt idx="0">
                          <c:v>#DIV/0!</c:v>
                        </c:pt>
                      </c15:dlblFieldTableCache>
                    </c15:dlblFTEntry>
                  </c15:dlblFieldTable>
                  <c15:showDataLabelsRange val="0"/>
                </c:ext>
                <c:ext xmlns:c16="http://schemas.microsoft.com/office/drawing/2014/chart" uri="{C3380CC4-5D6E-409C-BE32-E72D297353CC}">
                  <c16:uniqueId val="{00000017-C0A6-4569-AC31-BA846898B0C1}"/>
                </c:ext>
              </c:extLst>
            </c:dLbl>
            <c:dLbl>
              <c:idx val="9"/>
              <c:tx>
                <c:strRef>
                  <c:f>Graphs!$K$65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{6C8C7CAB-6B0E-46B6-952A-C98F3BD16702}</c15:txfldGUID>
                      <c15:f>Graphs!$K$65</c15:f>
                      <c15:dlblFieldTableCache>
                        <c:ptCount val="1"/>
                        <c:pt idx="0">
                          <c:v>#DIV/0!</c:v>
                        </c:pt>
                      </c15:dlblFieldTableCache>
                    </c15:dlblFTEntry>
                  </c15:dlblFieldTable>
                  <c15:showDataLabelsRange val="0"/>
                </c:ext>
                <c:ext xmlns:c16="http://schemas.microsoft.com/office/drawing/2014/chart" uri="{C3380CC4-5D6E-409C-BE32-E72D297353CC}">
                  <c16:uniqueId val="{00000018-C0A6-4569-AC31-BA846898B0C1}"/>
                </c:ext>
              </c:extLst>
            </c:dLbl>
            <c:dLbl>
              <c:idx val="10"/>
              <c:tx>
                <c:strRef>
                  <c:f>Graphs!$L$65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{477E5F91-66D9-43C7-B85B-87EC76B836F1}</c15:txfldGUID>
                      <c15:f>Graphs!$L$65</c15:f>
                      <c15:dlblFieldTableCache>
                        <c:ptCount val="1"/>
                        <c:pt idx="0">
                          <c:v>#DIV/0!</c:v>
                        </c:pt>
                      </c15:dlblFieldTableCache>
                    </c15:dlblFTEntry>
                  </c15:dlblFieldTable>
                  <c15:showDataLabelsRange val="0"/>
                </c:ext>
                <c:ext xmlns:c16="http://schemas.microsoft.com/office/drawing/2014/chart" uri="{C3380CC4-5D6E-409C-BE32-E72D297353CC}">
                  <c16:uniqueId val="{00000019-C0A6-4569-AC31-BA846898B0C1}"/>
                </c:ext>
              </c:extLst>
            </c:dLbl>
            <c:dLbl>
              <c:idx val="11"/>
              <c:tx>
                <c:strRef>
                  <c:f>Graphs!$M$65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{AF09556A-3AFB-46C9-8C40-981D09CCADF5}</c15:txfldGUID>
                      <c15:f>Graphs!$M$65</c15:f>
                      <c15:dlblFieldTableCache>
                        <c:ptCount val="1"/>
                        <c:pt idx="0">
                          <c:v>#DIV/0!</c:v>
                        </c:pt>
                      </c15:dlblFieldTableCache>
                    </c15:dlblFTEntry>
                  </c15:dlblFieldTable>
                  <c15:showDataLabelsRange val="0"/>
                </c:ext>
                <c:ext xmlns:c16="http://schemas.microsoft.com/office/drawing/2014/chart" uri="{C3380CC4-5D6E-409C-BE32-E72D297353CC}">
                  <c16:uniqueId val="{0000001A-C0A6-4569-AC31-BA846898B0C1}"/>
                </c:ext>
              </c:extLst>
            </c:dLbl>
            <c:dLbl>
              <c:idx val="12"/>
              <c:tx>
                <c:strRef>
                  <c:f>Graphs!$N$65</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{78CEEDDB-0186-47A0-8A88-409401FAE8ED}</c15:txfldGUID>
                      <c15:f>Graphs!$N$65</c15:f>
                      <c15:dlblFieldTableCache>
                        <c:ptCount val="1"/>
                        <c:pt idx="0">
                          <c:v>#DIV/0!</c:v>
                        </c:pt>
                      </c15:dlblFieldTableCache>
                    </c15:dlblFTEntry>
                  </c15:dlblFieldTable>
                  <c15:showDataLabelsRange val="0"/>
                </c:ext>
                <c:ext xmlns:c16="http://schemas.microsoft.com/office/drawing/2014/chart" uri="{C3380CC4-5D6E-409C-BE32-E72D297353CC}">
                  <c16:uniqueId val="{0000001B-C0A6-4569-AC31-BA846898B0C1}"/>
                </c:ext>
              </c:extLst>
            </c:dLbl>
            <c:dLbl>
              <c:idx val="13"/>
              <c:tx>
                <c:strRef>
                  <c:f>Graphs!$O$65</c:f>
                  <c:strCache>
                    <c:ptCount val="1"/>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{4F1A58A7-4CF9-4740-9BF5-72046A50A430}</c15:txfldGUID>
                      <c15:f>Graphs!$O$65</c15:f>
                      <c15:dlblFieldTableCache>
                        <c:ptCount val="1"/>
                      </c15:dlblFieldTableCache>
                    </c15:dlblFTEntry>
                  </c15:dlblFieldTable>
                  <c15:showDataLabelsRange val="0"/>
                </c:ext>
                <c:ext xmlns:c16="http://schemas.microsoft.com/office/drawing/2014/chart" uri="{C3380CC4-5D6E-409C-BE32-E72D297353CC}">
                  <c16:uniqueId val="{0000001C-C0A6-4569-AC31-BA846898B0C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Graphs!$B$50:$O$50</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Graphs!$B$52:$O$52</c:f>
              <c:numCache>
                <c:formatCode>_(* #,##0_);_(* \(#,##0\);_(* "-"??_);_(@_)</c:formatCode>
                <c:ptCount val="14"/>
              </c:numCache>
            </c:numRef>
          </c:val>
          <c:extLst>
            <c:ext xmlns:c16="http://schemas.microsoft.com/office/drawing/2014/chart" uri="{C3380CC4-5D6E-409C-BE32-E72D297353CC}">
              <c16:uniqueId val="{0000001D-C0A6-4569-AC31-BA846898B0C1}"/>
            </c:ext>
          </c:extLst>
        </c:ser>
        <c:ser>
          <c:idx val="2"/>
          <c:order val="2"/>
          <c:tx>
            <c:strRef>
              <c:f>Graphs!$A$53</c:f>
              <c:strCache>
                <c:ptCount val="1"/>
                <c:pt idx="0">
                  <c:v>Capital Related Costs</c:v>
                </c:pt>
              </c:strCache>
            </c:strRef>
          </c:tx>
          <c:invertIfNegative val="0"/>
          <c:dLbls>
            <c:dLbl>
              <c:idx val="0"/>
              <c:tx>
                <c:strRef>
                  <c:f>Graphs!$B$66</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{490BEB66-283C-4CBC-B530-D49ED5F127A9}</c15:txfldGUID>
                      <c15:f>Graphs!$B$66</c15:f>
                      <c15:dlblFieldTableCache>
                        <c:ptCount val="1"/>
                        <c:pt idx="0">
                          <c:v>#DIV/0!</c:v>
                        </c:pt>
                      </c15:dlblFieldTableCache>
                    </c15:dlblFTEntry>
                  </c15:dlblFieldTable>
                  <c15:showDataLabelsRange val="0"/>
                </c:ext>
                <c:ext xmlns:c16="http://schemas.microsoft.com/office/drawing/2014/chart" uri="{C3380CC4-5D6E-409C-BE32-E72D297353CC}">
                  <c16:uniqueId val="{0000001E-C0A6-4569-AC31-BA846898B0C1}"/>
                </c:ext>
              </c:extLst>
            </c:dLbl>
            <c:dLbl>
              <c:idx val="1"/>
              <c:tx>
                <c:strRef>
                  <c:f>Graphs!$C$66</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{3D6CC52F-CF3B-4F81-8836-3EE53EF608E2}</c15:txfldGUID>
                      <c15:f>Graphs!$C$66</c15:f>
                      <c15:dlblFieldTableCache>
                        <c:ptCount val="1"/>
                        <c:pt idx="0">
                          <c:v>#DIV/0!</c:v>
                        </c:pt>
                      </c15:dlblFieldTableCache>
                    </c15:dlblFTEntry>
                  </c15:dlblFieldTable>
                  <c15:showDataLabelsRange val="0"/>
                </c:ext>
                <c:ext xmlns:c16="http://schemas.microsoft.com/office/drawing/2014/chart" uri="{C3380CC4-5D6E-409C-BE32-E72D297353CC}">
                  <c16:uniqueId val="{0000001F-C0A6-4569-AC31-BA846898B0C1}"/>
                </c:ext>
              </c:extLst>
            </c:dLbl>
            <c:dLbl>
              <c:idx val="2"/>
              <c:tx>
                <c:strRef>
                  <c:f>Graphs!$D$66</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{A4FAB0F1-15CF-451A-A25B-687ECEA2FEF9}</c15:txfldGUID>
                      <c15:f>Graphs!$D$66</c15:f>
                      <c15:dlblFieldTableCache>
                        <c:ptCount val="1"/>
                        <c:pt idx="0">
                          <c:v>#DIV/0!</c:v>
                        </c:pt>
                      </c15:dlblFieldTableCache>
                    </c15:dlblFTEntry>
                  </c15:dlblFieldTable>
                  <c15:showDataLabelsRange val="0"/>
                </c:ext>
                <c:ext xmlns:c16="http://schemas.microsoft.com/office/drawing/2014/chart" uri="{C3380CC4-5D6E-409C-BE32-E72D297353CC}">
                  <c16:uniqueId val="{00000020-C0A6-4569-AC31-BA846898B0C1}"/>
                </c:ext>
              </c:extLst>
            </c:dLbl>
            <c:dLbl>
              <c:idx val="3"/>
              <c:tx>
                <c:strRef>
                  <c:f>Graphs!$E$66</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{14C51324-6E36-425E-B7CA-8AEFAAB9BE77}</c15:txfldGUID>
                      <c15:f>Graphs!$E$66</c15:f>
                      <c15:dlblFieldTableCache>
                        <c:ptCount val="1"/>
                        <c:pt idx="0">
                          <c:v>#DIV/0!</c:v>
                        </c:pt>
                      </c15:dlblFieldTableCache>
                    </c15:dlblFTEntry>
                  </c15:dlblFieldTable>
                  <c15:showDataLabelsRange val="0"/>
                </c:ext>
                <c:ext xmlns:c16="http://schemas.microsoft.com/office/drawing/2014/chart" uri="{C3380CC4-5D6E-409C-BE32-E72D297353CC}">
                  <c16:uniqueId val="{00000021-C0A6-4569-AC31-BA846898B0C1}"/>
                </c:ext>
              </c:extLst>
            </c:dLbl>
            <c:dLbl>
              <c:idx val="4"/>
              <c:tx>
                <c:strRef>
                  <c:f>Graphs!$F$66</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{FB79DB7B-D6C2-43CA-ACFD-F1B4A21AE43F}</c15:txfldGUID>
                      <c15:f>Graphs!$F$66</c15:f>
                      <c15:dlblFieldTableCache>
                        <c:ptCount val="1"/>
                        <c:pt idx="0">
                          <c:v>#DIV/0!</c:v>
                        </c:pt>
                      </c15:dlblFieldTableCache>
                    </c15:dlblFTEntry>
                  </c15:dlblFieldTable>
                  <c15:showDataLabelsRange val="0"/>
                </c:ext>
                <c:ext xmlns:c16="http://schemas.microsoft.com/office/drawing/2014/chart" uri="{C3380CC4-5D6E-409C-BE32-E72D297353CC}">
                  <c16:uniqueId val="{00000022-C0A6-4569-AC31-BA846898B0C1}"/>
                </c:ext>
              </c:extLst>
            </c:dLbl>
            <c:dLbl>
              <c:idx val="5"/>
              <c:tx>
                <c:strRef>
                  <c:f>Graphs!$G$66</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{729ED54B-C9DD-4508-9E3C-28B5D6B5757A}</c15:txfldGUID>
                      <c15:f>Graphs!$G$66</c15:f>
                      <c15:dlblFieldTableCache>
                        <c:ptCount val="1"/>
                        <c:pt idx="0">
                          <c:v>#DIV/0!</c:v>
                        </c:pt>
                      </c15:dlblFieldTableCache>
                    </c15:dlblFTEntry>
                  </c15:dlblFieldTable>
                  <c15:showDataLabelsRange val="0"/>
                </c:ext>
                <c:ext xmlns:c16="http://schemas.microsoft.com/office/drawing/2014/chart" uri="{C3380CC4-5D6E-409C-BE32-E72D297353CC}">
                  <c16:uniqueId val="{00000023-C0A6-4569-AC31-BA846898B0C1}"/>
                </c:ext>
              </c:extLst>
            </c:dLbl>
            <c:dLbl>
              <c:idx val="6"/>
              <c:tx>
                <c:strRef>
                  <c:f>Graphs!$H$66</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{8255DE70-9880-4A2C-81A1-2CDD68E94051}</c15:txfldGUID>
                      <c15:f>Graphs!$H$66</c15:f>
                      <c15:dlblFieldTableCache>
                        <c:ptCount val="1"/>
                        <c:pt idx="0">
                          <c:v>#DIV/0!</c:v>
                        </c:pt>
                      </c15:dlblFieldTableCache>
                    </c15:dlblFTEntry>
                  </c15:dlblFieldTable>
                  <c15:showDataLabelsRange val="0"/>
                </c:ext>
                <c:ext xmlns:c16="http://schemas.microsoft.com/office/drawing/2014/chart" uri="{C3380CC4-5D6E-409C-BE32-E72D297353CC}">
                  <c16:uniqueId val="{00000024-C0A6-4569-AC31-BA846898B0C1}"/>
                </c:ext>
              </c:extLst>
            </c:dLbl>
            <c:dLbl>
              <c:idx val="7"/>
              <c:tx>
                <c:strRef>
                  <c:f>Graphs!$I$66</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{7563B8C8-9E23-4C99-A933-862E835749FC}</c15:txfldGUID>
                      <c15:f>Graphs!$I$66</c15:f>
                      <c15:dlblFieldTableCache>
                        <c:ptCount val="1"/>
                        <c:pt idx="0">
                          <c:v>#DIV/0!</c:v>
                        </c:pt>
                      </c15:dlblFieldTableCache>
                    </c15:dlblFTEntry>
                  </c15:dlblFieldTable>
                  <c15:showDataLabelsRange val="0"/>
                </c:ext>
                <c:ext xmlns:c16="http://schemas.microsoft.com/office/drawing/2014/chart" uri="{C3380CC4-5D6E-409C-BE32-E72D297353CC}">
                  <c16:uniqueId val="{00000025-C0A6-4569-AC31-BA846898B0C1}"/>
                </c:ext>
              </c:extLst>
            </c:dLbl>
            <c:dLbl>
              <c:idx val="8"/>
              <c:tx>
                <c:strRef>
                  <c:f>Graphs!$J$66</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{26DE9560-ABD9-42D5-99CF-42B0C7DA529A}</c15:txfldGUID>
                      <c15:f>Graphs!$J$66</c15:f>
                      <c15:dlblFieldTableCache>
                        <c:ptCount val="1"/>
                        <c:pt idx="0">
                          <c:v>#DIV/0!</c:v>
                        </c:pt>
                      </c15:dlblFieldTableCache>
                    </c15:dlblFTEntry>
                  </c15:dlblFieldTable>
                  <c15:showDataLabelsRange val="0"/>
                </c:ext>
                <c:ext xmlns:c16="http://schemas.microsoft.com/office/drawing/2014/chart" uri="{C3380CC4-5D6E-409C-BE32-E72D297353CC}">
                  <c16:uniqueId val="{00000026-C0A6-4569-AC31-BA846898B0C1}"/>
                </c:ext>
              </c:extLst>
            </c:dLbl>
            <c:dLbl>
              <c:idx val="9"/>
              <c:tx>
                <c:strRef>
                  <c:f>Graphs!$K$66</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{85FA89B6-CACD-4025-9507-9FA76DC15E33}</c15:txfldGUID>
                      <c15:f>Graphs!$K$66</c15:f>
                      <c15:dlblFieldTableCache>
                        <c:ptCount val="1"/>
                        <c:pt idx="0">
                          <c:v>#DIV/0!</c:v>
                        </c:pt>
                      </c15:dlblFieldTableCache>
                    </c15:dlblFTEntry>
                  </c15:dlblFieldTable>
                  <c15:showDataLabelsRange val="0"/>
                </c:ext>
                <c:ext xmlns:c16="http://schemas.microsoft.com/office/drawing/2014/chart" uri="{C3380CC4-5D6E-409C-BE32-E72D297353CC}">
                  <c16:uniqueId val="{00000027-C0A6-4569-AC31-BA846898B0C1}"/>
                </c:ext>
              </c:extLst>
            </c:dLbl>
            <c:dLbl>
              <c:idx val="10"/>
              <c:tx>
                <c:strRef>
                  <c:f>Graphs!$L$66</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{B7596349-A42A-4E80-B574-F0AB72971662}</c15:txfldGUID>
                      <c15:f>Graphs!$L$66</c15:f>
                      <c15:dlblFieldTableCache>
                        <c:ptCount val="1"/>
                        <c:pt idx="0">
                          <c:v>#DIV/0!</c:v>
                        </c:pt>
                      </c15:dlblFieldTableCache>
                    </c15:dlblFTEntry>
                  </c15:dlblFieldTable>
                  <c15:showDataLabelsRange val="0"/>
                </c:ext>
                <c:ext xmlns:c16="http://schemas.microsoft.com/office/drawing/2014/chart" uri="{C3380CC4-5D6E-409C-BE32-E72D297353CC}">
                  <c16:uniqueId val="{00000028-C0A6-4569-AC31-BA846898B0C1}"/>
                </c:ext>
              </c:extLst>
            </c:dLbl>
            <c:dLbl>
              <c:idx val="11"/>
              <c:tx>
                <c:strRef>
                  <c:f>Graphs!$M$66</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{5500BE66-4C9A-44D0-8561-485D433FF8A8}</c15:txfldGUID>
                      <c15:f>Graphs!$M$66</c15:f>
                      <c15:dlblFieldTableCache>
                        <c:ptCount val="1"/>
                        <c:pt idx="0">
                          <c:v>#DIV/0!</c:v>
                        </c:pt>
                      </c15:dlblFieldTableCache>
                    </c15:dlblFTEntry>
                  </c15:dlblFieldTable>
                  <c15:showDataLabelsRange val="0"/>
                </c:ext>
                <c:ext xmlns:c16="http://schemas.microsoft.com/office/drawing/2014/chart" uri="{C3380CC4-5D6E-409C-BE32-E72D297353CC}">
                  <c16:uniqueId val="{00000029-C0A6-4569-AC31-BA846898B0C1}"/>
                </c:ext>
              </c:extLst>
            </c:dLbl>
            <c:dLbl>
              <c:idx val="12"/>
              <c:tx>
                <c:strRef>
                  <c:f>Graphs!$N$66</c:f>
                  <c:strCache>
                    <c:ptCount val="1"/>
                    <c:pt idx="0">
                      <c:v>#DIV/0!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{37545F59-7323-4BC4-8D46-C021A28B81A6}</c15:txfldGUID>
                      <c15:f>Graphs!$N$66</c15:f>
                      <c15:dlblFieldTableCache>
                        <c:ptCount val="1"/>
                        <c:pt idx="0">
                          <c:v>#DIV/0!</c:v>
                        </c:pt>
                      </c15:dlblFieldTableCache>
                    </c15:dlblFTEntry>
                  </c15:dlblFieldTable>
                  <c15:showDataLabelsRange val="0"/>
                </c:ext>
                <c:ext xmlns:c16="http://schemas.microsoft.com/office/drawing/2014/chart" uri="{C3380CC4-5D6E-409C-BE32-E72D297353CC}">
                  <c16:uniqueId val="{0000002A-C0A6-4569-AC31-BA846898B0C1}"/>
                </c:ext>
              </c:extLst>
            </c:dLbl>
            <c:dLbl>
              <c:idx val="13"/>
              <c:tx>
                <c:strRef>
                  <c:f>Graphs!$O$66</c:f>
                  <c:strCache>
                    <c:ptCount val="1"/>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{E34DBEC0-FAA3-45BD-BBBA-CD38798B1BA6}</c15:txfldGUID>
                      <c15:f>Graphs!$O$66</c15:f>
                      <c15:dlblFieldTableCache>
                        <c:ptCount val="1"/>
                      </c15:dlblFieldTableCache>
                    </c15:dlblFTEntry>
                  </c15:dlblFieldTable>
                  <c15:showDataLabelsRange val="0"/>
                </c:ext>
                <c:ext xmlns:c16="http://schemas.microsoft.com/office/drawing/2014/chart" uri="{C3380CC4-5D6E-409C-BE32-E72D297353CC}">
                  <c16:uniqueId val="{0000002B-C0A6-4569-AC31-BA846898B0C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Graphs!$B$50:$O$50</c:f>
              <c:numCache>
                <c:formatCode>General</c:formatCode>
                <c:ptCount val="14"/>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numCache>
            </c:numRef>
          </c:cat>
          <c:val>
            <c:numRef>
              <c:f>Graphs!$B$53:$O$53</c:f>
              <c:numCache>
                <c:formatCode>_(* #,##0_);_(* \(#,##0\);_(* "-"??_);_(@_)</c:formatCode>
                <c:ptCount val="14"/>
              </c:numCache>
            </c:numRef>
          </c:val>
          <c:extLst>
            <c:ext xmlns:c16="http://schemas.microsoft.com/office/drawing/2014/chart" uri="{C3380CC4-5D6E-409C-BE32-E72D297353CC}">
              <c16:uniqueId val="{0000002C-C0A6-4569-AC31-BA846898B0C1}"/>
            </c:ext>
          </c:extLst>
        </c:ser>
        <c:dLbls>
          <c:dLblPos val="ctr"/>
          <c:showLegendKey val="0"/>
          <c:showVal val="1"/>
          <c:showCatName val="0"/>
          <c:showSerName val="0"/>
          <c:showPercent val="0"/>
          <c:showBubbleSize val="0"/>
        </c:dLbls>
        <c:gapWidth val="75"/>
        <c:overlap val="100"/>
        <c:axId val="265278208"/>
        <c:axId val="265279744"/>
      </c:barChart>
      <c:catAx>
        <c:axId val="265278208"/>
        <c:scaling>
          <c:orientation val="minMax"/>
        </c:scaling>
        <c:delete val="0"/>
        <c:axPos val="b"/>
        <c:numFmt formatCode="General" sourceLinked="1"/>
        <c:majorTickMark val="none"/>
        <c:minorTickMark val="none"/>
        <c:tickLblPos val="nextTo"/>
        <c:crossAx val="265279744"/>
        <c:crosses val="autoZero"/>
        <c:auto val="1"/>
        <c:lblAlgn val="ctr"/>
        <c:lblOffset val="100"/>
        <c:noMultiLvlLbl val="0"/>
      </c:catAx>
      <c:valAx>
        <c:axId val="265279744"/>
        <c:scaling>
          <c:orientation val="minMax"/>
        </c:scaling>
        <c:delete val="0"/>
        <c:axPos val="l"/>
        <c:majorGridlines/>
        <c:numFmt formatCode="_(* #,##0_);_(* \(#,##0\);_(* &quot;-&quot;??_);_(@_)" sourceLinked="1"/>
        <c:majorTickMark val="none"/>
        <c:minorTickMark val="none"/>
        <c:tickLblPos val="nextTo"/>
        <c:spPr>
          <a:ln w="9525">
            <a:noFill/>
          </a:ln>
        </c:spPr>
        <c:crossAx val="26527820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15</xdr:col>
      <xdr:colOff>609599</xdr:colOff>
      <xdr:row>0</xdr:row>
      <xdr:rowOff>42862</xdr:rowOff>
    </xdr:from>
    <xdr:to>
      <xdr:col>29</xdr:col>
      <xdr:colOff>38100</xdr:colOff>
      <xdr:row>20</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0</xdr:colOff>
      <xdr:row>0</xdr:row>
      <xdr:rowOff>0</xdr:rowOff>
    </xdr:from>
    <xdr:to>
      <xdr:col>43</xdr:col>
      <xdr:colOff>38101</xdr:colOff>
      <xdr:row>20</xdr:row>
      <xdr:rowOff>90488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9524</xdr:colOff>
      <xdr:row>22</xdr:row>
      <xdr:rowOff>23811</xdr:rowOff>
    </xdr:from>
    <xdr:to>
      <xdr:col>29</xdr:col>
      <xdr:colOff>19049</xdr:colOff>
      <xdr:row>38</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598714</xdr:colOff>
      <xdr:row>22</xdr:row>
      <xdr:rowOff>27215</xdr:rowOff>
    </xdr:from>
    <xdr:to>
      <xdr:col>42</xdr:col>
      <xdr:colOff>608238</xdr:colOff>
      <xdr:row>38</xdr:row>
      <xdr:rowOff>12928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xdr:colOff>
      <xdr:row>39</xdr:row>
      <xdr:rowOff>13607</xdr:rowOff>
    </xdr:from>
    <xdr:to>
      <xdr:col>29</xdr:col>
      <xdr:colOff>9524</xdr:colOff>
      <xdr:row>55</xdr:row>
      <xdr:rowOff>53749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0</xdr:colOff>
      <xdr:row>39</xdr:row>
      <xdr:rowOff>0</xdr:rowOff>
    </xdr:from>
    <xdr:to>
      <xdr:col>43</xdr:col>
      <xdr:colOff>9525</xdr:colOff>
      <xdr:row>55</xdr:row>
      <xdr:rowOff>40142</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605116</xdr:colOff>
      <xdr:row>55</xdr:row>
      <xdr:rowOff>186416</xdr:rowOff>
    </xdr:from>
    <xdr:to>
      <xdr:col>43</xdr:col>
      <xdr:colOff>13388</xdr:colOff>
      <xdr:row>74</xdr:row>
      <xdr:rowOff>133076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56</xdr:row>
      <xdr:rowOff>9525</xdr:rowOff>
    </xdr:from>
    <xdr:to>
      <xdr:col>29</xdr:col>
      <xdr:colOff>13389</xdr:colOff>
      <xdr:row>74</xdr:row>
      <xdr:rowOff>146685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P22%20TS%20FP%20Plant%20Model%20-%20mk9%20v1%20LGIA%202nd%20Upd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FILE.bud.bpa.gov\WORKGRPS\KGS\Revenue%20Requirements\Rate%20Case\BP-22\Final%20Proposal\Inputs\BP-22%20Final%20Proposal%20Transmission%20Segmentation%20Documentation_R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Requirements/Rate%20Case/BP-22/Final%20Proposal/Transmission/Inputs/corps%20bureau%20transmiss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FILE.bud.bpa.gov\WORKGRPS\KGS\Revenue%20Requirements\Rate%20Case\BP-20\Initial%20Proposal\Transmission\Data%20Inputs\BP-20%20synchronous%20condensing08272018%20from%20John%20Wellschla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Notes"/>
      <sheetName val="Historical"/>
      <sheetName val="Additions"/>
      <sheetName val="Customer Funded"/>
      <sheetName val="Reg Assets"/>
      <sheetName val="Proj Inv"/>
      <sheetName val="Depr Calc"/>
      <sheetName val="Depr Sum by Asset"/>
      <sheetName val="Depr Sum by Seg"/>
      <sheetName val="Accumulated Depr"/>
      <sheetName val="Invest Base"/>
      <sheetName val="Seg Inv Base"/>
      <sheetName val="GP Historical"/>
      <sheetName val="Ancillary Historic Ratio Calc"/>
      <sheetName val="GP Additions"/>
      <sheetName val="GP Depr"/>
      <sheetName val="GP Ancillary Services"/>
      <sheetName val="GP PFIA"/>
      <sheetName val="2016 Depreciation Study"/>
      <sheetName val="Retirement Ratios"/>
      <sheetName val="BP22 TS FP Plant Model - mk9 v1"/>
    </sheetNames>
    <sheetDataSet>
      <sheetData sheetId="0"/>
      <sheetData sheetId="1"/>
      <sheetData sheetId="2"/>
      <sheetData sheetId="3"/>
      <sheetData sheetId="4">
        <row r="19">
          <cell r="B19" t="str">
            <v>SERVICE</v>
          </cell>
          <cell r="C19" t="str">
            <v>INVESTMENT</v>
          </cell>
          <cell r="D19" t="str">
            <v>INVESTMENT</v>
          </cell>
          <cell r="E19" t="str">
            <v>LINES</v>
          </cell>
          <cell r="F19" t="str">
            <v>SUBSTATIONS</v>
          </cell>
          <cell r="G19" t="str">
            <v>LINES</v>
          </cell>
          <cell r="H19" t="str">
            <v>SUBSTATIONS</v>
          </cell>
          <cell r="I19" t="str">
            <v>LINES</v>
          </cell>
          <cell r="J19" t="str">
            <v>SUBSTATIONS</v>
          </cell>
          <cell r="K19" t="str">
            <v>TOTAL</v>
          </cell>
          <cell r="L19" t="str">
            <v>INVESTMENT</v>
          </cell>
          <cell r="M19"/>
        </row>
        <row r="20">
          <cell r="B20">
            <v>2019</v>
          </cell>
          <cell r="C20">
            <v>418950.08436500002</v>
          </cell>
          <cell r="D20">
            <v>408.28800999999999</v>
          </cell>
          <cell r="E20">
            <v>0</v>
          </cell>
          <cell r="F20">
            <v>408.28800999999999</v>
          </cell>
          <cell r="G20">
            <v>1490.1369140445104</v>
          </cell>
          <cell r="H20">
            <v>8259.010225064967</v>
          </cell>
          <cell r="I20">
            <v>8902.0553663815699</v>
          </cell>
          <cell r="J20">
            <v>63832.036524198083</v>
          </cell>
          <cell r="K20">
            <v>72734.091890579657</v>
          </cell>
          <cell r="L20">
            <v>350886.42203897506</v>
          </cell>
          <cell r="M20"/>
        </row>
        <row r="21">
          <cell r="B21">
            <v>2020</v>
          </cell>
          <cell r="C21">
            <v>430358.145365</v>
          </cell>
          <cell r="D21">
            <v>11408.061</v>
          </cell>
          <cell r="E21">
            <v>12097.23163</v>
          </cell>
          <cell r="F21">
            <v>25034.221836999979</v>
          </cell>
          <cell r="G21">
            <v>171.23164797698209</v>
          </cell>
          <cell r="H21">
            <v>291.58329072694465</v>
          </cell>
          <cell r="I21">
            <v>9073.2870143585515</v>
          </cell>
          <cell r="J21">
            <v>64123.619814925027</v>
          </cell>
          <cell r="K21">
            <v>73196.906829283573</v>
          </cell>
          <cell r="L21">
            <v>351688.61550506839</v>
          </cell>
          <cell r="M21"/>
        </row>
        <row r="22">
          <cell r="B22">
            <v>2021</v>
          </cell>
          <cell r="C22">
            <v>440643.55136500002</v>
          </cell>
          <cell r="D22">
            <v>10285.406000000001</v>
          </cell>
          <cell r="E22">
            <v>4628.4327000000003</v>
          </cell>
          <cell r="F22">
            <v>5656.9733000000006</v>
          </cell>
          <cell r="G22">
            <v>407.97697569587655</v>
          </cell>
          <cell r="H22">
            <v>637.76369583061148</v>
          </cell>
          <cell r="I22">
            <v>9481.2639900544273</v>
          </cell>
          <cell r="J22">
            <v>64761.383510755637</v>
          </cell>
          <cell r="K22">
            <v>74242.647500810068</v>
          </cell>
          <cell r="L22">
            <v>361781.07119995321</v>
          </cell>
          <cell r="M22"/>
        </row>
        <row r="23">
          <cell r="B23">
            <v>2022</v>
          </cell>
          <cell r="C23">
            <v>484143.55136500002</v>
          </cell>
          <cell r="D23">
            <v>43500</v>
          </cell>
          <cell r="E23">
            <v>19575</v>
          </cell>
          <cell r="F23">
            <v>23925.000000000004</v>
          </cell>
          <cell r="G23">
            <v>750.5672306136438</v>
          </cell>
          <cell r="H23">
            <v>971.43266685136257</v>
          </cell>
          <cell r="I23">
            <v>10231.831220668071</v>
          </cell>
          <cell r="J23">
            <v>65732.816177607005</v>
          </cell>
          <cell r="K23">
            <v>75964.647398275076</v>
          </cell>
          <cell r="L23">
            <v>387289.90391545743</v>
          </cell>
          <cell r="M23"/>
        </row>
        <row r="24">
          <cell r="B24">
            <v>2023</v>
          </cell>
          <cell r="C24">
            <v>524143.55136500002</v>
          </cell>
          <cell r="D24">
            <v>40000</v>
          </cell>
          <cell r="E24">
            <v>18000</v>
          </cell>
          <cell r="F24">
            <v>22000</v>
          </cell>
          <cell r="G24">
            <v>1282.4268634224686</v>
          </cell>
          <cell r="H24">
            <v>1489.4423120743197</v>
          </cell>
          <cell r="I24">
            <v>11514.258084090539</v>
          </cell>
          <cell r="J24">
            <v>67222.25848968132</v>
          </cell>
          <cell r="K24">
            <v>78736.516573771863</v>
          </cell>
          <cell r="L24">
            <v>426792.9693789765</v>
          </cell>
          <cell r="M24"/>
        </row>
        <row r="25">
          <cell r="B25">
            <v>2024</v>
          </cell>
          <cell r="C25">
            <v>549143.55136499996</v>
          </cell>
          <cell r="D25">
            <v>25000</v>
          </cell>
          <cell r="E25">
            <v>11250</v>
          </cell>
          <cell r="F25">
            <v>13750.000000000002</v>
          </cell>
          <cell r="G25">
            <v>1696.4493320760448</v>
          </cell>
          <cell r="H25">
            <v>1892.6833532658429</v>
          </cell>
          <cell r="I25">
            <v>13210.707416166584</v>
          </cell>
          <cell r="J25">
            <v>69114.94184294717</v>
          </cell>
          <cell r="K25">
            <v>82325.64925911375</v>
          </cell>
          <cell r="L25">
            <v>456112.46844855719</v>
          </cell>
          <cell r="M25"/>
        </row>
        <row r="26">
          <cell r="B26">
            <v>2025</v>
          </cell>
          <cell r="C26">
            <v>564143.55136499996</v>
          </cell>
          <cell r="D26">
            <v>15000</v>
          </cell>
          <cell r="E26">
            <v>6750</v>
          </cell>
          <cell r="F26">
            <v>8250</v>
          </cell>
          <cell r="G26">
            <v>1951.2323897090148</v>
          </cell>
          <cell r="H26">
            <v>2140.8316863067803</v>
          </cell>
          <cell r="I26">
            <v>15161.9398058756</v>
          </cell>
          <cell r="J26">
            <v>71255.773529253944</v>
          </cell>
          <cell r="K26">
            <v>86417.713335129549</v>
          </cell>
          <cell r="L26">
            <v>472271.87006787828</v>
          </cell>
          <cell r="M26"/>
        </row>
        <row r="27">
          <cell r="B27">
            <v>2026</v>
          </cell>
          <cell r="C27">
            <v>579143.55136499996</v>
          </cell>
          <cell r="D27">
            <v>15000</v>
          </cell>
          <cell r="E27">
            <v>6750</v>
          </cell>
          <cell r="F27">
            <v>8250</v>
          </cell>
          <cell r="G27">
            <v>2142.3196829337421</v>
          </cell>
          <cell r="H27">
            <v>2326.9429360874833</v>
          </cell>
          <cell r="I27">
            <v>17304.259488809341</v>
          </cell>
          <cell r="J27">
            <v>73582.716465341422</v>
          </cell>
          <cell r="K27">
            <v>90886.975954150766</v>
          </cell>
          <cell r="L27">
            <v>482991.2067203598</v>
          </cell>
          <cell r="M27"/>
        </row>
        <row r="28">
          <cell r="B28">
            <v>2027</v>
          </cell>
          <cell r="C28">
            <v>594143.55136499996</v>
          </cell>
          <cell r="D28">
            <v>15000</v>
          </cell>
          <cell r="E28">
            <v>6750</v>
          </cell>
          <cell r="F28">
            <v>8250</v>
          </cell>
          <cell r="G28">
            <v>2333.4069761584697</v>
          </cell>
          <cell r="H28">
            <v>2513.0541858681868</v>
          </cell>
          <cell r="I28">
            <v>19637.66646496781</v>
          </cell>
          <cell r="J28">
            <v>76095.770651209605</v>
          </cell>
          <cell r="K28">
            <v>95733.437116177418</v>
          </cell>
          <cell r="L28">
            <v>493333.34482983587</v>
          </cell>
          <cell r="M28"/>
        </row>
        <row r="29">
          <cell r="B29">
            <v>2028</v>
          </cell>
          <cell r="C29">
            <v>609143.55136499996</v>
          </cell>
          <cell r="D29">
            <v>15000</v>
          </cell>
          <cell r="E29">
            <v>6750</v>
          </cell>
          <cell r="F29">
            <v>8250</v>
          </cell>
          <cell r="G29">
            <v>2524.4942693831972</v>
          </cell>
          <cell r="H29">
            <v>2699.1654356488898</v>
          </cell>
          <cell r="I29">
            <v>22162.160734351008</v>
          </cell>
          <cell r="J29">
            <v>78794.936086858492</v>
          </cell>
          <cell r="K29">
            <v>100957.0968212095</v>
          </cell>
          <cell r="L29">
            <v>503298.2843963065</v>
          </cell>
          <cell r="M29"/>
        </row>
        <row r="30">
          <cell r="B30">
            <v>2029</v>
          </cell>
          <cell r="C30">
            <v>624143.55136499996</v>
          </cell>
          <cell r="D30">
            <v>15000</v>
          </cell>
          <cell r="E30">
            <v>6750</v>
          </cell>
          <cell r="F30">
            <v>8250</v>
          </cell>
          <cell r="G30">
            <v>2715.5815626079248</v>
          </cell>
          <cell r="H30">
            <v>2885.2766854295928</v>
          </cell>
          <cell r="I30">
            <v>24877.742296958932</v>
          </cell>
          <cell r="J30">
            <v>81680.212772288083</v>
          </cell>
          <cell r="K30">
            <v>106557.95506924702</v>
          </cell>
          <cell r="L30">
            <v>512886.02541977167</v>
          </cell>
          <cell r="M30"/>
        </row>
        <row r="31">
          <cell r="B31">
            <v>2030</v>
          </cell>
          <cell r="C31">
            <v>639143.55136499996</v>
          </cell>
          <cell r="D31">
            <v>15000</v>
          </cell>
          <cell r="E31">
            <v>6750</v>
          </cell>
          <cell r="F31">
            <v>8250</v>
          </cell>
          <cell r="G31">
            <v>2906.6688558326523</v>
          </cell>
          <cell r="H31">
            <v>3071.3879352102958</v>
          </cell>
          <cell r="I31">
            <v>27784.411152791585</v>
          </cell>
          <cell r="J31">
            <v>84751.600707498379</v>
          </cell>
          <cell r="K31">
            <v>112536.01186028996</v>
          </cell>
          <cell r="L31">
            <v>522096.56790023146</v>
          </cell>
          <cell r="M31"/>
        </row>
        <row r="32">
          <cell r="B32">
            <v>2031</v>
          </cell>
          <cell r="C32">
            <v>654143.55136499996</v>
          </cell>
          <cell r="D32">
            <v>15000</v>
          </cell>
          <cell r="E32">
            <v>6750</v>
          </cell>
          <cell r="F32">
            <v>8250</v>
          </cell>
          <cell r="G32">
            <v>3097.7561490573798</v>
          </cell>
          <cell r="H32">
            <v>3257.4991849909989</v>
          </cell>
          <cell r="I32">
            <v>30882.167301848964</v>
          </cell>
          <cell r="J32">
            <v>88009.099892489379</v>
          </cell>
          <cell r="K32">
            <v>118891.26719433835</v>
          </cell>
          <cell r="L32">
            <v>530929.91183768585</v>
          </cell>
          <cell r="M32"/>
        </row>
        <row r="33">
          <cell r="B33">
            <v>2032</v>
          </cell>
          <cell r="C33">
            <v>669143.55136499996</v>
          </cell>
          <cell r="D33">
            <v>15000</v>
          </cell>
          <cell r="E33">
            <v>6750</v>
          </cell>
          <cell r="F33">
            <v>8250</v>
          </cell>
          <cell r="G33">
            <v>3288.8434422821074</v>
          </cell>
          <cell r="H33">
            <v>3443.6104347717019</v>
          </cell>
          <cell r="I33">
            <v>34171.010744131068</v>
          </cell>
          <cell r="J33">
            <v>91452.710327261084</v>
          </cell>
          <cell r="K33">
            <v>125623.72107139215</v>
          </cell>
          <cell r="L33">
            <v>539386.05723213474</v>
          </cell>
          <cell r="M33"/>
        </row>
        <row r="34">
          <cell r="B34">
            <v>2033</v>
          </cell>
          <cell r="C34">
            <v>684143.55136499996</v>
          </cell>
          <cell r="D34">
            <v>15000</v>
          </cell>
          <cell r="E34">
            <v>6750</v>
          </cell>
          <cell r="F34">
            <v>8250</v>
          </cell>
          <cell r="G34">
            <v>3479.9307355068349</v>
          </cell>
          <cell r="H34">
            <v>3629.7216845524049</v>
          </cell>
          <cell r="I34">
            <v>37650.941479637906</v>
          </cell>
          <cell r="J34">
            <v>95082.432011813493</v>
          </cell>
          <cell r="K34">
            <v>132733.37349145141</v>
          </cell>
          <cell r="L34">
            <v>547465.00408357824</v>
          </cell>
          <cell r="M34"/>
        </row>
        <row r="35">
          <cell r="B35">
            <v>2034</v>
          </cell>
          <cell r="C35">
            <v>699143.55136499996</v>
          </cell>
          <cell r="D35">
            <v>15000</v>
          </cell>
          <cell r="E35">
            <v>6750</v>
          </cell>
          <cell r="F35">
            <v>8250</v>
          </cell>
          <cell r="G35">
            <v>3671.018028731562</v>
          </cell>
          <cell r="H35">
            <v>3815.8329343331084</v>
          </cell>
          <cell r="I35">
            <v>41321.959508369466</v>
          </cell>
          <cell r="J35">
            <v>98898.264946146606</v>
          </cell>
          <cell r="K35">
            <v>140220.22445451608</v>
          </cell>
          <cell r="L35">
            <v>555166.75239201623</v>
          </cell>
          <cell r="M35"/>
        </row>
        <row r="36">
          <cell r="B36">
            <v>2035</v>
          </cell>
          <cell r="C36">
            <v>714143.55136499996</v>
          </cell>
          <cell r="D36">
            <v>15000</v>
          </cell>
          <cell r="E36">
            <v>6750</v>
          </cell>
          <cell r="F36">
            <v>8250</v>
          </cell>
          <cell r="G36">
            <v>3862.1053219562896</v>
          </cell>
          <cell r="H36">
            <v>4001.9441841138114</v>
          </cell>
          <cell r="I36">
            <v>45184.064830325755</v>
          </cell>
          <cell r="J36">
            <v>102900.20913026042</v>
          </cell>
          <cell r="K36">
            <v>148084.27396058617</v>
          </cell>
          <cell r="L36">
            <v>562491.30215744884</v>
          </cell>
          <cell r="M36"/>
        </row>
        <row r="37">
          <cell r="B37">
            <v>2036</v>
          </cell>
          <cell r="C37">
            <v>729143.55136499996</v>
          </cell>
          <cell r="D37">
            <v>15000</v>
          </cell>
          <cell r="E37">
            <v>6750</v>
          </cell>
          <cell r="F37">
            <v>8250</v>
          </cell>
          <cell r="G37">
            <v>4053.1926151810171</v>
          </cell>
          <cell r="H37">
            <v>4188.055433894514</v>
          </cell>
          <cell r="I37">
            <v>49237.257445506773</v>
          </cell>
          <cell r="J37">
            <v>107088.26456415493</v>
          </cell>
          <cell r="K37">
            <v>156325.52200966171</v>
          </cell>
          <cell r="L37">
            <v>569438.65337987605</v>
          </cell>
          <cell r="M37"/>
        </row>
        <row r="38">
          <cell r="B38">
            <v>2037</v>
          </cell>
          <cell r="C38">
            <v>744143.55136499996</v>
          </cell>
          <cell r="D38">
            <v>15000</v>
          </cell>
          <cell r="E38">
            <v>6750</v>
          </cell>
          <cell r="F38">
            <v>8250</v>
          </cell>
          <cell r="G38">
            <v>4244.2799084057451</v>
          </cell>
          <cell r="H38">
            <v>4374.1666836752174</v>
          </cell>
          <cell r="I38">
            <v>53481.537353912521</v>
          </cell>
          <cell r="J38">
            <v>111462.43124783014</v>
          </cell>
          <cell r="K38">
            <v>164943.96860174267</v>
          </cell>
          <cell r="L38">
            <v>576008.80605929787</v>
          </cell>
          <cell r="M38"/>
        </row>
        <row r="39">
          <cell r="B39">
            <v>2038</v>
          </cell>
          <cell r="C39">
            <v>759143.55136499996</v>
          </cell>
          <cell r="D39">
            <v>15000</v>
          </cell>
          <cell r="E39">
            <v>6750</v>
          </cell>
          <cell r="F39">
            <v>8250</v>
          </cell>
          <cell r="G39">
            <v>4435.3672016304718</v>
          </cell>
          <cell r="H39">
            <v>4560.2779334559209</v>
          </cell>
          <cell r="I39">
            <v>57916.904555542991</v>
          </cell>
          <cell r="J39">
            <v>116022.70918128606</v>
          </cell>
          <cell r="K39">
            <v>173939.61373682905</v>
          </cell>
          <cell r="L39">
            <v>582201.76019571419</v>
          </cell>
          <cell r="M39"/>
        </row>
        <row r="40">
          <cell r="B40">
            <v>2039</v>
          </cell>
          <cell r="C40">
            <v>774143.55136499996</v>
          </cell>
          <cell r="D40">
            <v>15000</v>
          </cell>
          <cell r="E40">
            <v>6750</v>
          </cell>
          <cell r="F40">
            <v>8250</v>
          </cell>
          <cell r="G40">
            <v>4626.4544948551993</v>
          </cell>
          <cell r="H40">
            <v>4746.3891832366235</v>
          </cell>
          <cell r="I40">
            <v>62543.35905039819</v>
          </cell>
          <cell r="J40">
            <v>120769.09836452268</v>
          </cell>
          <cell r="K40">
            <v>183312.45741492088</v>
          </cell>
          <cell r="L40">
            <v>588017.515789125</v>
          </cell>
          <cell r="M40"/>
        </row>
        <row r="41">
          <cell r="B41">
            <v>2040</v>
          </cell>
          <cell r="C41">
            <v>789143.55136499996</v>
          </cell>
          <cell r="D41">
            <v>15000</v>
          </cell>
          <cell r="E41">
            <v>6750</v>
          </cell>
          <cell r="F41">
            <v>8250</v>
          </cell>
          <cell r="G41">
            <v>4817.5417880799268</v>
          </cell>
          <cell r="H41">
            <v>4932.5004330173269</v>
          </cell>
          <cell r="I41">
            <v>67360.900838478119</v>
          </cell>
          <cell r="J41">
            <v>125701.59879754001</v>
          </cell>
          <cell r="K41">
            <v>193062.49963601812</v>
          </cell>
          <cell r="L41">
            <v>593456.07283953042</v>
          </cell>
          <cell r="M41"/>
        </row>
        <row r="42">
          <cell r="B42">
            <v>2041</v>
          </cell>
          <cell r="C42">
            <v>804143.55136499996</v>
          </cell>
          <cell r="D42">
            <v>15000</v>
          </cell>
          <cell r="E42">
            <v>6750</v>
          </cell>
          <cell r="F42">
            <v>8250</v>
          </cell>
          <cell r="G42">
            <v>5008.6290813046544</v>
          </cell>
          <cell r="H42">
            <v>5118.6116827980295</v>
          </cell>
          <cell r="I42">
            <v>72369.52991978277</v>
          </cell>
          <cell r="J42">
            <v>130820.21048033804</v>
          </cell>
          <cell r="K42">
            <v>203189.74040012079</v>
          </cell>
          <cell r="L42">
            <v>598517.43134693045</v>
          </cell>
          <cell r="M42"/>
        </row>
        <row r="43">
          <cell r="B43">
            <v>2042</v>
          </cell>
          <cell r="C43">
            <v>819143.55136499996</v>
          </cell>
          <cell r="D43">
            <v>15000</v>
          </cell>
          <cell r="E43">
            <v>6750</v>
          </cell>
          <cell r="F43">
            <v>8250</v>
          </cell>
          <cell r="G43">
            <v>5199.7163745293819</v>
          </cell>
          <cell r="H43">
            <v>5304.722932578733</v>
          </cell>
          <cell r="I43">
            <v>77569.24629431215</v>
          </cell>
          <cell r="J43">
            <v>136124.93341291675</v>
          </cell>
          <cell r="K43">
            <v>213694.1797072289</v>
          </cell>
          <cell r="L43">
            <v>603201.59131132509</v>
          </cell>
          <cell r="M43"/>
        </row>
        <row r="44">
          <cell r="B44">
            <v>2043</v>
          </cell>
          <cell r="C44">
            <v>834143.55136499996</v>
          </cell>
          <cell r="D44">
            <v>15000</v>
          </cell>
          <cell r="E44">
            <v>6750</v>
          </cell>
          <cell r="F44">
            <v>8250</v>
          </cell>
          <cell r="G44">
            <v>5390.8036677541095</v>
          </cell>
          <cell r="H44">
            <v>5490.8341823594355</v>
          </cell>
          <cell r="I44">
            <v>82960.049962066259</v>
          </cell>
          <cell r="J44">
            <v>141615.76759527618</v>
          </cell>
          <cell r="K44">
            <v>224575.81755734244</v>
          </cell>
          <cell r="L44">
            <v>607508.55273271422</v>
          </cell>
          <cell r="M44"/>
        </row>
        <row r="45">
          <cell r="B45">
            <v>2044</v>
          </cell>
          <cell r="C45">
            <v>849143.55136499996</v>
          </cell>
          <cell r="D45">
            <v>15000</v>
          </cell>
          <cell r="E45">
            <v>6750</v>
          </cell>
          <cell r="F45">
            <v>8250</v>
          </cell>
          <cell r="G45">
            <v>5581.890960978837</v>
          </cell>
          <cell r="H45">
            <v>5676.945432140139</v>
          </cell>
          <cell r="I45">
            <v>88541.940923045098</v>
          </cell>
          <cell r="J45">
            <v>147292.71302741632</v>
          </cell>
          <cell r="K45">
            <v>235834.65395046142</v>
          </cell>
          <cell r="L45">
            <v>611438.31561109796</v>
          </cell>
          <cell r="M45"/>
        </row>
        <row r="46">
          <cell r="B46">
            <v>2045</v>
          </cell>
          <cell r="C46">
            <v>864143.55136499996</v>
          </cell>
          <cell r="D46">
            <v>15000</v>
          </cell>
          <cell r="E46">
            <v>6750</v>
          </cell>
          <cell r="F46">
            <v>8250</v>
          </cell>
          <cell r="G46">
            <v>5772.9782542035646</v>
          </cell>
          <cell r="H46">
            <v>5863.0566819208416</v>
          </cell>
          <cell r="I46">
            <v>94314.919177248667</v>
          </cell>
          <cell r="J46">
            <v>153155.76970933715</v>
          </cell>
          <cell r="K46">
            <v>247470.68888658582</v>
          </cell>
          <cell r="L46">
            <v>614990.87994647631</v>
          </cell>
          <cell r="M46"/>
        </row>
        <row r="47">
          <cell r="B47"/>
          <cell r="C47"/>
          <cell r="D47"/>
          <cell r="E47"/>
          <cell r="F47"/>
          <cell r="G47"/>
          <cell r="H47"/>
          <cell r="I47"/>
          <cell r="J47"/>
          <cell r="K47"/>
          <cell r="L47"/>
          <cell r="M47"/>
        </row>
        <row r="48">
          <cell r="B48"/>
          <cell r="C48"/>
          <cell r="D48"/>
          <cell r="E48"/>
          <cell r="F48"/>
          <cell r="G48"/>
          <cell r="H48"/>
          <cell r="I48"/>
          <cell r="J48"/>
          <cell r="K48"/>
          <cell r="L48"/>
          <cell r="M48"/>
        </row>
        <row r="49">
          <cell r="B49"/>
          <cell r="C49"/>
          <cell r="D49"/>
          <cell r="E49"/>
          <cell r="F49"/>
          <cell r="G49"/>
          <cell r="H49"/>
          <cell r="I49"/>
          <cell r="J49"/>
          <cell r="K49"/>
          <cell r="L49"/>
          <cell r="M49"/>
        </row>
        <row r="50">
          <cell r="B50"/>
          <cell r="C50"/>
          <cell r="D50"/>
          <cell r="E50"/>
          <cell r="F50"/>
          <cell r="G50"/>
          <cell r="H50"/>
          <cell r="I50"/>
          <cell r="J50"/>
          <cell r="K50"/>
          <cell r="L50"/>
          <cell r="M50"/>
        </row>
        <row r="51">
          <cell r="B51"/>
          <cell r="C51"/>
          <cell r="D51"/>
          <cell r="E51"/>
          <cell r="F51"/>
          <cell r="G51"/>
          <cell r="H51"/>
          <cell r="I51"/>
          <cell r="J51"/>
          <cell r="K51"/>
          <cell r="L51"/>
          <cell r="M51"/>
        </row>
        <row r="52">
          <cell r="B52"/>
          <cell r="C52"/>
          <cell r="D52"/>
          <cell r="E52"/>
          <cell r="F52"/>
          <cell r="G52"/>
          <cell r="H52"/>
          <cell r="I52"/>
          <cell r="J52"/>
          <cell r="K52"/>
          <cell r="L52"/>
          <cell r="M52"/>
        </row>
        <row r="53">
          <cell r="B53"/>
          <cell r="C53"/>
          <cell r="D53"/>
          <cell r="E53"/>
          <cell r="F53"/>
          <cell r="G53"/>
          <cell r="H53"/>
          <cell r="I53"/>
          <cell r="J53"/>
          <cell r="K53"/>
          <cell r="L53"/>
          <cell r="M53"/>
        </row>
        <row r="54">
          <cell r="B54"/>
          <cell r="C54"/>
          <cell r="D54"/>
          <cell r="E54"/>
          <cell r="F54"/>
          <cell r="G54"/>
          <cell r="H54"/>
          <cell r="I54"/>
          <cell r="J54"/>
          <cell r="K54"/>
          <cell r="L54"/>
          <cell r="M54"/>
        </row>
        <row r="55">
          <cell r="B55"/>
          <cell r="C55"/>
          <cell r="D55"/>
          <cell r="E55"/>
          <cell r="F55"/>
          <cell r="G55"/>
          <cell r="H55"/>
          <cell r="I55"/>
          <cell r="J55"/>
          <cell r="K55"/>
          <cell r="L55"/>
          <cell r="M55"/>
        </row>
        <row r="56">
          <cell r="B56"/>
          <cell r="C56"/>
          <cell r="D56"/>
          <cell r="E56"/>
          <cell r="F56"/>
          <cell r="G56"/>
          <cell r="H56"/>
          <cell r="I56"/>
          <cell r="J56"/>
          <cell r="K56"/>
          <cell r="L56"/>
          <cell r="M56"/>
        </row>
        <row r="57">
          <cell r="B57"/>
          <cell r="C57"/>
          <cell r="D57"/>
          <cell r="E57"/>
          <cell r="F57"/>
          <cell r="G57"/>
          <cell r="H57"/>
          <cell r="I57"/>
          <cell r="J57"/>
          <cell r="K57"/>
          <cell r="L57"/>
          <cell r="M57"/>
        </row>
        <row r="58">
          <cell r="B58"/>
          <cell r="C58"/>
          <cell r="D58"/>
          <cell r="E58"/>
          <cell r="F58"/>
          <cell r="G58"/>
          <cell r="H58"/>
          <cell r="I58"/>
          <cell r="J58"/>
          <cell r="K58"/>
          <cell r="L58"/>
          <cell r="M58"/>
        </row>
        <row r="59">
          <cell r="B59"/>
          <cell r="C59"/>
          <cell r="D59"/>
          <cell r="E59"/>
          <cell r="F59"/>
          <cell r="G59"/>
          <cell r="H59"/>
          <cell r="I59"/>
          <cell r="J59"/>
          <cell r="K59"/>
          <cell r="L59"/>
          <cell r="M59"/>
        </row>
        <row r="60">
          <cell r="B60"/>
          <cell r="C60"/>
          <cell r="D60"/>
          <cell r="E60"/>
          <cell r="F60"/>
          <cell r="G60"/>
          <cell r="H60"/>
          <cell r="I60"/>
          <cell r="J60"/>
          <cell r="K60"/>
          <cell r="L60"/>
          <cell r="M60"/>
        </row>
      </sheetData>
      <sheetData sheetId="5"/>
      <sheetData sheetId="6"/>
      <sheetData sheetId="7">
        <row r="14">
          <cell r="A14">
            <v>2020</v>
          </cell>
          <cell r="B14"/>
          <cell r="C14">
            <v>31671.292250255068</v>
          </cell>
          <cell r="D14"/>
          <cell r="E14">
            <v>11463.383757384077</v>
          </cell>
          <cell r="F14"/>
          <cell r="G14">
            <v>3438783.2071658415</v>
          </cell>
          <cell r="H14"/>
          <cell r="I14">
            <v>1244663.1874287529</v>
          </cell>
          <cell r="J14"/>
          <cell r="K14">
            <v>313907.50979891047</v>
          </cell>
          <cell r="L14"/>
          <cell r="M14">
            <v>113618.42203078192</v>
          </cell>
          <cell r="N14"/>
          <cell r="O14">
            <v>95020.698272155438</v>
          </cell>
          <cell r="P14"/>
          <cell r="Q14">
            <v>34392.620313102234</v>
          </cell>
          <cell r="R14"/>
          <cell r="S14">
            <v>412.40295723756344</v>
          </cell>
          <cell r="T14"/>
          <cell r="U14">
            <v>149.26872336433229</v>
          </cell>
          <cell r="V14"/>
          <cell r="W14">
            <v>0</v>
          </cell>
          <cell r="X14"/>
          <cell r="Y14">
            <v>0</v>
          </cell>
          <cell r="Z14"/>
          <cell r="AA14">
            <v>3879795.1104444005</v>
          </cell>
          <cell r="AB14"/>
          <cell r="AC14">
            <v>1404286.8822533851</v>
          </cell>
          <cell r="AD14"/>
          <cell r="AE14">
            <v>55248.467711999998</v>
          </cell>
          <cell r="AF14"/>
          <cell r="AG14">
            <v>19997.112286600772</v>
          </cell>
        </row>
        <row r="15">
          <cell r="A15">
            <v>2021</v>
          </cell>
          <cell r="B15">
            <v>11463.383757384077</v>
          </cell>
          <cell r="C15">
            <v>31671.292250255068</v>
          </cell>
          <cell r="D15">
            <v>897</v>
          </cell>
          <cell r="E15">
            <v>12360.383757384077</v>
          </cell>
          <cell r="F15">
            <v>1244663.1874287529</v>
          </cell>
          <cell r="G15">
            <v>3508865.748718475</v>
          </cell>
          <cell r="H15">
            <v>98341</v>
          </cell>
          <cell r="I15">
            <v>1343004.1874287529</v>
          </cell>
          <cell r="J15">
            <v>113618.42203078192</v>
          </cell>
          <cell r="K15">
            <v>313907.50979891047</v>
          </cell>
          <cell r="L15">
            <v>8886</v>
          </cell>
          <cell r="M15">
            <v>122504.42203078192</v>
          </cell>
          <cell r="N15">
            <v>34392.620313102234</v>
          </cell>
          <cell r="O15">
            <v>95020.698272155438</v>
          </cell>
          <cell r="P15">
            <v>2690</v>
          </cell>
          <cell r="Q15">
            <v>37082.620313102234</v>
          </cell>
          <cell r="R15">
            <v>149.26872336433229</v>
          </cell>
          <cell r="S15">
            <v>412.40295723756344</v>
          </cell>
          <cell r="T15">
            <v>12</v>
          </cell>
          <cell r="U15">
            <v>161.26872336433229</v>
          </cell>
          <cell r="V15">
            <v>0</v>
          </cell>
          <cell r="W15">
            <v>0</v>
          </cell>
          <cell r="X15">
            <v>0</v>
          </cell>
          <cell r="Y15">
            <v>0</v>
          </cell>
          <cell r="Z15">
            <v>1404286.8822533851</v>
          </cell>
          <cell r="AA15">
            <v>3949877.651997034</v>
          </cell>
          <cell r="AB15">
            <v>110826</v>
          </cell>
          <cell r="AC15">
            <v>1515112.8822533851</v>
          </cell>
          <cell r="AD15">
            <v>19997.112286600772</v>
          </cell>
          <cell r="AE15">
            <v>55248.467711999998</v>
          </cell>
          <cell r="AF15">
            <v>1564</v>
          </cell>
          <cell r="AG15">
            <v>21561.112286600772</v>
          </cell>
        </row>
        <row r="16">
          <cell r="A16">
            <v>2022</v>
          </cell>
          <cell r="B16">
            <v>12360.383757384077</v>
          </cell>
          <cell r="C16">
            <v>31671.292250255068</v>
          </cell>
          <cell r="D16">
            <v>897</v>
          </cell>
          <cell r="E16">
            <v>13257.383757384077</v>
          </cell>
          <cell r="F16">
            <v>1343004.1874287529</v>
          </cell>
          <cell r="G16">
            <v>3627037.6752048284</v>
          </cell>
          <cell r="H16">
            <v>101006</v>
          </cell>
          <cell r="I16">
            <v>1444010.1874287529</v>
          </cell>
          <cell r="J16">
            <v>122504.42203078192</v>
          </cell>
          <cell r="K16">
            <v>313907.50979891047</v>
          </cell>
          <cell r="L16">
            <v>8886</v>
          </cell>
          <cell r="M16">
            <v>131390.42203078192</v>
          </cell>
          <cell r="N16">
            <v>37082.620313102234</v>
          </cell>
          <cell r="O16">
            <v>95020.698272155438</v>
          </cell>
          <cell r="P16">
            <v>2690</v>
          </cell>
          <cell r="Q16">
            <v>39772.620313102234</v>
          </cell>
          <cell r="R16">
            <v>161.26872336433229</v>
          </cell>
          <cell r="S16">
            <v>412.40295723756344</v>
          </cell>
          <cell r="T16">
            <v>12</v>
          </cell>
          <cell r="U16">
            <v>173.26872336433229</v>
          </cell>
          <cell r="V16">
            <v>0</v>
          </cell>
          <cell r="W16">
            <v>0</v>
          </cell>
          <cell r="X16">
            <v>0</v>
          </cell>
          <cell r="Y16">
            <v>0</v>
          </cell>
          <cell r="Z16">
            <v>1515112.8822533851</v>
          </cell>
          <cell r="AA16">
            <v>4068049.5784833874</v>
          </cell>
          <cell r="AB16">
            <v>113491</v>
          </cell>
          <cell r="AC16">
            <v>1628603.8822533851</v>
          </cell>
          <cell r="AD16">
            <v>21561.112286600772</v>
          </cell>
          <cell r="AE16">
            <v>55248.467711999998</v>
          </cell>
          <cell r="AF16">
            <v>1564</v>
          </cell>
          <cell r="AG16">
            <v>23125.112286600772</v>
          </cell>
        </row>
        <row r="17">
          <cell r="A17">
            <v>2023</v>
          </cell>
          <cell r="B17">
            <v>13257.383757384077</v>
          </cell>
          <cell r="C17">
            <v>31671.292250255068</v>
          </cell>
          <cell r="D17">
            <v>897</v>
          </cell>
          <cell r="E17">
            <v>14154.383757384077</v>
          </cell>
          <cell r="F17">
            <v>1444010.1874287529</v>
          </cell>
          <cell r="G17">
            <v>3738140.9518122589</v>
          </cell>
          <cell r="H17">
            <v>104251</v>
          </cell>
          <cell r="I17">
            <v>1548261.1874287529</v>
          </cell>
          <cell r="J17">
            <v>131390.42203078192</v>
          </cell>
          <cell r="K17">
            <v>313907.50979891047</v>
          </cell>
          <cell r="L17">
            <v>8886</v>
          </cell>
          <cell r="M17">
            <v>140276.42203078192</v>
          </cell>
          <cell r="N17">
            <v>39772.620313102234</v>
          </cell>
          <cell r="O17">
            <v>95020.698272155438</v>
          </cell>
          <cell r="P17">
            <v>2690</v>
          </cell>
          <cell r="Q17">
            <v>42462.620313102234</v>
          </cell>
          <cell r="R17">
            <v>173.26872336433229</v>
          </cell>
          <cell r="S17">
            <v>412.40295723756344</v>
          </cell>
          <cell r="T17">
            <v>12</v>
          </cell>
          <cell r="U17">
            <v>185.26872336433229</v>
          </cell>
          <cell r="V17">
            <v>0</v>
          </cell>
          <cell r="W17">
            <v>0</v>
          </cell>
          <cell r="X17">
            <v>0</v>
          </cell>
          <cell r="Y17">
            <v>0</v>
          </cell>
          <cell r="Z17">
            <v>1628603.8822533851</v>
          </cell>
          <cell r="AA17">
            <v>4179152.8550908179</v>
          </cell>
          <cell r="AB17">
            <v>116736</v>
          </cell>
          <cell r="AC17">
            <v>1745339.8822533851</v>
          </cell>
          <cell r="AD17">
            <v>23125.112286600772</v>
          </cell>
          <cell r="AE17">
            <v>55248.467711999998</v>
          </cell>
          <cell r="AF17">
            <v>1564</v>
          </cell>
          <cell r="AG17">
            <v>24689.112286600772</v>
          </cell>
        </row>
        <row r="18">
          <cell r="A18">
            <v>2024</v>
          </cell>
          <cell r="B18">
            <v>14154.383757384077</v>
          </cell>
          <cell r="C18">
            <v>31671.292250255068</v>
          </cell>
          <cell r="D18">
            <v>897</v>
          </cell>
          <cell r="E18">
            <v>15051.383757384077</v>
          </cell>
          <cell r="F18">
            <v>1548261.1874287529</v>
          </cell>
          <cell r="G18">
            <v>3863925.4343256806</v>
          </cell>
          <cell r="H18">
            <v>107604</v>
          </cell>
          <cell r="I18">
            <v>1655865.1874287529</v>
          </cell>
          <cell r="J18">
            <v>140276.42203078192</v>
          </cell>
          <cell r="K18">
            <v>313907.50979891047</v>
          </cell>
          <cell r="L18">
            <v>8886</v>
          </cell>
          <cell r="M18">
            <v>149162.42203078192</v>
          </cell>
          <cell r="N18">
            <v>42462.620313102234</v>
          </cell>
          <cell r="O18">
            <v>95020.698272155438</v>
          </cell>
          <cell r="P18">
            <v>2690</v>
          </cell>
          <cell r="Q18">
            <v>45152.620313102234</v>
          </cell>
          <cell r="R18">
            <v>185.26872336433229</v>
          </cell>
          <cell r="S18">
            <v>412.40295723756344</v>
          </cell>
          <cell r="T18">
            <v>12</v>
          </cell>
          <cell r="U18">
            <v>197.26872336433229</v>
          </cell>
          <cell r="V18">
            <v>0</v>
          </cell>
          <cell r="W18">
            <v>0</v>
          </cell>
          <cell r="X18">
            <v>0</v>
          </cell>
          <cell r="Y18">
            <v>0</v>
          </cell>
          <cell r="Z18">
            <v>1745339.8822533851</v>
          </cell>
          <cell r="AA18">
            <v>4304937.3376042387</v>
          </cell>
          <cell r="AB18">
            <v>120089</v>
          </cell>
          <cell r="AC18">
            <v>1865428.8822533851</v>
          </cell>
          <cell r="AD18">
            <v>24689.112286600772</v>
          </cell>
          <cell r="AE18">
            <v>55248.467711999998</v>
          </cell>
          <cell r="AF18">
            <v>1564</v>
          </cell>
          <cell r="AG18">
            <v>26253.112286600772</v>
          </cell>
        </row>
        <row r="19">
          <cell r="A19">
            <v>2025</v>
          </cell>
          <cell r="B19">
            <v>15051.383757384077</v>
          </cell>
          <cell r="C19">
            <v>31671.292250255068</v>
          </cell>
          <cell r="D19">
            <v>897</v>
          </cell>
          <cell r="E19">
            <v>15948.383757384077</v>
          </cell>
          <cell r="F19">
            <v>1655865.1874287529</v>
          </cell>
          <cell r="G19">
            <v>4036566.1996856844</v>
          </cell>
          <cell r="H19">
            <v>111828</v>
          </cell>
          <cell r="I19">
            <v>1767693.1874287529</v>
          </cell>
          <cell r="J19">
            <v>149162.42203078192</v>
          </cell>
          <cell r="K19">
            <v>313907.50979891047</v>
          </cell>
          <cell r="L19">
            <v>8886</v>
          </cell>
          <cell r="M19">
            <v>158048.42203078192</v>
          </cell>
          <cell r="N19">
            <v>45152.620313102234</v>
          </cell>
          <cell r="O19">
            <v>95020.698272155438</v>
          </cell>
          <cell r="P19">
            <v>2690</v>
          </cell>
          <cell r="Q19">
            <v>47842.620313102234</v>
          </cell>
          <cell r="R19">
            <v>197.26872336433229</v>
          </cell>
          <cell r="S19">
            <v>412.40295723756344</v>
          </cell>
          <cell r="T19">
            <v>12</v>
          </cell>
          <cell r="U19">
            <v>209.26872336433229</v>
          </cell>
          <cell r="V19">
            <v>0</v>
          </cell>
          <cell r="W19">
            <v>0</v>
          </cell>
          <cell r="X19">
            <v>0</v>
          </cell>
          <cell r="Y19">
            <v>0</v>
          </cell>
          <cell r="Z19">
            <v>1865428.8822533851</v>
          </cell>
          <cell r="AA19">
            <v>4477578.1029642429</v>
          </cell>
          <cell r="AB19">
            <v>124313</v>
          </cell>
          <cell r="AC19">
            <v>1989741.8822533851</v>
          </cell>
          <cell r="AD19">
            <v>26253.112286600772</v>
          </cell>
          <cell r="AE19">
            <v>55248.467711999998</v>
          </cell>
          <cell r="AF19">
            <v>1564</v>
          </cell>
          <cell r="AG19">
            <v>27817.112286600772</v>
          </cell>
        </row>
        <row r="20">
          <cell r="A20">
            <v>2026</v>
          </cell>
          <cell r="B20">
            <v>15948.383757384077</v>
          </cell>
          <cell r="C20">
            <v>31671.292250255068</v>
          </cell>
          <cell r="D20">
            <v>897</v>
          </cell>
          <cell r="E20">
            <v>16845.383757384079</v>
          </cell>
          <cell r="F20">
            <v>1767693.1874287529</v>
          </cell>
          <cell r="G20">
            <v>4190169.1842134045</v>
          </cell>
          <cell r="H20">
            <v>116446</v>
          </cell>
          <cell r="I20">
            <v>1884139.1874287529</v>
          </cell>
          <cell r="J20">
            <v>158048.42203078192</v>
          </cell>
          <cell r="K20">
            <v>313907.50979891047</v>
          </cell>
          <cell r="L20">
            <v>8886</v>
          </cell>
          <cell r="M20">
            <v>166934.42203078192</v>
          </cell>
          <cell r="N20">
            <v>47842.620313102234</v>
          </cell>
          <cell r="O20">
            <v>95020.698272155438</v>
          </cell>
          <cell r="P20">
            <v>2690</v>
          </cell>
          <cell r="Q20">
            <v>50532.620313102234</v>
          </cell>
          <cell r="R20">
            <v>209.26872336433229</v>
          </cell>
          <cell r="S20">
            <v>412.40295723756344</v>
          </cell>
          <cell r="T20">
            <v>12</v>
          </cell>
          <cell r="U20">
            <v>221.26872336433229</v>
          </cell>
          <cell r="V20">
            <v>0</v>
          </cell>
          <cell r="W20">
            <v>0</v>
          </cell>
          <cell r="X20">
            <v>0</v>
          </cell>
          <cell r="Y20">
            <v>0</v>
          </cell>
          <cell r="Z20">
            <v>1989741.8822533851</v>
          </cell>
          <cell r="AA20">
            <v>4631181.0874919631</v>
          </cell>
          <cell r="AB20">
            <v>128931</v>
          </cell>
          <cell r="AC20">
            <v>2118672.8822533851</v>
          </cell>
          <cell r="AD20">
            <v>27817.112286600772</v>
          </cell>
          <cell r="AE20">
            <v>55248.467711999998</v>
          </cell>
          <cell r="AF20">
            <v>1564</v>
          </cell>
          <cell r="AG20">
            <v>29381.112286600772</v>
          </cell>
        </row>
        <row r="21">
          <cell r="A21">
            <v>2027</v>
          </cell>
          <cell r="B21">
            <v>16845.383757384079</v>
          </cell>
          <cell r="C21">
            <v>31671.292250255068</v>
          </cell>
          <cell r="D21">
            <v>897</v>
          </cell>
          <cell r="E21">
            <v>17742.383757384079</v>
          </cell>
          <cell r="F21">
            <v>1884139.1874287529</v>
          </cell>
          <cell r="G21">
            <v>4321459.5710516721</v>
          </cell>
          <cell r="H21">
            <v>120479</v>
          </cell>
          <cell r="I21">
            <v>2004618.1874287529</v>
          </cell>
          <cell r="J21">
            <v>166934.42203078192</v>
          </cell>
          <cell r="K21">
            <v>314140.65318857733</v>
          </cell>
          <cell r="L21">
            <v>8890</v>
          </cell>
          <cell r="M21">
            <v>175824.42203078192</v>
          </cell>
          <cell r="N21">
            <v>50532.620313102234</v>
          </cell>
          <cell r="O21">
            <v>95020.698272155438</v>
          </cell>
          <cell r="P21">
            <v>2690</v>
          </cell>
          <cell r="Q21">
            <v>53222.620313102234</v>
          </cell>
          <cell r="R21">
            <v>221.26872336433229</v>
          </cell>
          <cell r="S21">
            <v>412.40295723756344</v>
          </cell>
          <cell r="T21">
            <v>12</v>
          </cell>
          <cell r="U21">
            <v>233.26872336433229</v>
          </cell>
          <cell r="V21">
            <v>0</v>
          </cell>
          <cell r="W21">
            <v>0</v>
          </cell>
          <cell r="X21">
            <v>0</v>
          </cell>
          <cell r="Y21">
            <v>0</v>
          </cell>
          <cell r="Z21">
            <v>2118672.8822533851</v>
          </cell>
          <cell r="AA21">
            <v>4762704.6177198971</v>
          </cell>
          <cell r="AB21">
            <v>132968</v>
          </cell>
          <cell r="AC21">
            <v>2251640.8822533851</v>
          </cell>
          <cell r="AD21">
            <v>29381.112286600772</v>
          </cell>
          <cell r="AE21">
            <v>55248.467711999998</v>
          </cell>
          <cell r="AF21">
            <v>1564</v>
          </cell>
          <cell r="AG21">
            <v>30945.112286600772</v>
          </cell>
        </row>
        <row r="22">
          <cell r="A22">
            <v>2028</v>
          </cell>
          <cell r="B22">
            <v>17742.383757384079</v>
          </cell>
          <cell r="C22">
            <v>31671.292250255068</v>
          </cell>
          <cell r="D22">
            <v>897</v>
          </cell>
          <cell r="E22">
            <v>18639.383757384079</v>
          </cell>
          <cell r="F22">
            <v>2004618.1874287529</v>
          </cell>
          <cell r="G22">
            <v>4429472.2712989794</v>
          </cell>
          <cell r="H22">
            <v>123866</v>
          </cell>
          <cell r="I22">
            <v>2128484.1874287529</v>
          </cell>
          <cell r="J22">
            <v>175824.42203078192</v>
          </cell>
          <cell r="K22">
            <v>314140.65318857733</v>
          </cell>
          <cell r="L22">
            <v>8893</v>
          </cell>
          <cell r="M22">
            <v>184717.42203078192</v>
          </cell>
          <cell r="N22">
            <v>53222.620313102234</v>
          </cell>
          <cell r="O22">
            <v>95020.698272155438</v>
          </cell>
          <cell r="P22">
            <v>2690</v>
          </cell>
          <cell r="Q22">
            <v>55912.620313102234</v>
          </cell>
          <cell r="R22">
            <v>233.26872336433229</v>
          </cell>
          <cell r="S22">
            <v>412.40295723756344</v>
          </cell>
          <cell r="T22">
            <v>12</v>
          </cell>
          <cell r="U22">
            <v>245.26872336433229</v>
          </cell>
          <cell r="V22">
            <v>0</v>
          </cell>
          <cell r="W22">
            <v>0</v>
          </cell>
          <cell r="X22">
            <v>0</v>
          </cell>
          <cell r="Y22">
            <v>0</v>
          </cell>
          <cell r="Z22">
            <v>2251640.8822533851</v>
          </cell>
          <cell r="AA22">
            <v>4870717.3179672044</v>
          </cell>
          <cell r="AB22">
            <v>136358</v>
          </cell>
          <cell r="AC22">
            <v>2387998.8822533851</v>
          </cell>
          <cell r="AD22">
            <v>30945.112286600772</v>
          </cell>
          <cell r="AE22">
            <v>55248.467711999998</v>
          </cell>
          <cell r="AF22">
            <v>1564</v>
          </cell>
          <cell r="AG22">
            <v>32509.112286600772</v>
          </cell>
        </row>
        <row r="23">
          <cell r="A23">
            <v>2029</v>
          </cell>
          <cell r="B23">
            <v>18639.383757384079</v>
          </cell>
          <cell r="C23">
            <v>31671.292250255068</v>
          </cell>
          <cell r="D23">
            <v>897</v>
          </cell>
          <cell r="E23">
            <v>19536.383757384079</v>
          </cell>
          <cell r="F23">
            <v>2128484.1874287529</v>
          </cell>
          <cell r="G23">
            <v>4537300.1307075275</v>
          </cell>
          <cell r="H23">
            <v>126921</v>
          </cell>
          <cell r="I23">
            <v>2255405.1874287529</v>
          </cell>
          <cell r="J23">
            <v>184717.42203078192</v>
          </cell>
          <cell r="K23">
            <v>314140.65318857733</v>
          </cell>
          <cell r="L23">
            <v>8893</v>
          </cell>
          <cell r="M23">
            <v>193610.42203078192</v>
          </cell>
          <cell r="N23">
            <v>55912.620313102234</v>
          </cell>
          <cell r="O23">
            <v>95020.698272155438</v>
          </cell>
          <cell r="P23">
            <v>2690</v>
          </cell>
          <cell r="Q23">
            <v>58602.620313102234</v>
          </cell>
          <cell r="R23">
            <v>245.26872336433229</v>
          </cell>
          <cell r="S23">
            <v>412.40295723756344</v>
          </cell>
          <cell r="T23">
            <v>12</v>
          </cell>
          <cell r="U23">
            <v>257.26872336433229</v>
          </cell>
          <cell r="V23">
            <v>0</v>
          </cell>
          <cell r="W23">
            <v>0</v>
          </cell>
          <cell r="X23">
            <v>0</v>
          </cell>
          <cell r="Y23">
            <v>0</v>
          </cell>
          <cell r="Z23">
            <v>2387998.8822533851</v>
          </cell>
          <cell r="AA23">
            <v>4978545.1773757525</v>
          </cell>
          <cell r="AB23">
            <v>139413</v>
          </cell>
          <cell r="AC23">
            <v>2527411.8822533851</v>
          </cell>
          <cell r="AD23">
            <v>32509.112286600772</v>
          </cell>
          <cell r="AE23">
            <v>55248.467711999998</v>
          </cell>
          <cell r="AF23">
            <v>1564</v>
          </cell>
          <cell r="AG23">
            <v>34073.112286600772</v>
          </cell>
        </row>
        <row r="24">
          <cell r="A24">
            <v>2030</v>
          </cell>
          <cell r="B24">
            <v>19536.383757384079</v>
          </cell>
          <cell r="C24">
            <v>31671.292250255068</v>
          </cell>
          <cell r="D24">
            <v>897</v>
          </cell>
          <cell r="E24">
            <v>20433.383757384079</v>
          </cell>
          <cell r="F24">
            <v>2255405.1874287529</v>
          </cell>
          <cell r="G24">
            <v>4642243.214767525</v>
          </cell>
          <cell r="H24">
            <v>129933</v>
          </cell>
          <cell r="I24">
            <v>2385338.1874287529</v>
          </cell>
          <cell r="J24">
            <v>193610.42203078192</v>
          </cell>
          <cell r="K24">
            <v>314140.65318857733</v>
          </cell>
          <cell r="L24">
            <v>8893</v>
          </cell>
          <cell r="M24">
            <v>202503.42203078192</v>
          </cell>
          <cell r="N24">
            <v>58602.620313102234</v>
          </cell>
          <cell r="O24">
            <v>95020.698272155438</v>
          </cell>
          <cell r="P24">
            <v>2690</v>
          </cell>
          <cell r="Q24">
            <v>61292.620313102234</v>
          </cell>
          <cell r="R24">
            <v>257.26872336433229</v>
          </cell>
          <cell r="S24">
            <v>412.40295723756344</v>
          </cell>
          <cell r="T24">
            <v>12</v>
          </cell>
          <cell r="U24">
            <v>269.26872336433229</v>
          </cell>
          <cell r="V24">
            <v>0</v>
          </cell>
          <cell r="W24">
            <v>0</v>
          </cell>
          <cell r="X24">
            <v>0</v>
          </cell>
          <cell r="Y24">
            <v>0</v>
          </cell>
          <cell r="Z24">
            <v>2527411.8822533851</v>
          </cell>
          <cell r="AA24">
            <v>5083488.2614357499</v>
          </cell>
          <cell r="AB24">
            <v>142425</v>
          </cell>
          <cell r="AC24">
            <v>2669836.8822533851</v>
          </cell>
          <cell r="AD24">
            <v>34073.112286600772</v>
          </cell>
          <cell r="AE24">
            <v>55248.467711999998</v>
          </cell>
          <cell r="AF24">
            <v>1564</v>
          </cell>
          <cell r="AG24">
            <v>35637.112286600772</v>
          </cell>
        </row>
        <row r="25">
          <cell r="A25">
            <v>2031</v>
          </cell>
          <cell r="B25">
            <v>20433.383757384079</v>
          </cell>
          <cell r="C25">
            <v>31671.292250255068</v>
          </cell>
          <cell r="D25">
            <v>897</v>
          </cell>
          <cell r="E25">
            <v>21330.383757384079</v>
          </cell>
          <cell r="F25">
            <v>2385338.1874287529</v>
          </cell>
          <cell r="G25">
            <v>4755184.9483378567</v>
          </cell>
          <cell r="H25">
            <v>133017</v>
          </cell>
          <cell r="I25">
            <v>2518355.1874287529</v>
          </cell>
          <cell r="J25">
            <v>202503.42203078192</v>
          </cell>
          <cell r="K25">
            <v>314140.65318857733</v>
          </cell>
          <cell r="L25">
            <v>8893</v>
          </cell>
          <cell r="M25">
            <v>211396.42203078192</v>
          </cell>
          <cell r="N25">
            <v>61292.620313102234</v>
          </cell>
          <cell r="O25">
            <v>95020.698272155438</v>
          </cell>
          <cell r="P25">
            <v>2690</v>
          </cell>
          <cell r="Q25">
            <v>63982.620313102234</v>
          </cell>
          <cell r="R25">
            <v>269.26872336433229</v>
          </cell>
          <cell r="S25">
            <v>412.40295723756344</v>
          </cell>
          <cell r="T25">
            <v>12</v>
          </cell>
          <cell r="U25">
            <v>281.26872336433229</v>
          </cell>
          <cell r="V25">
            <v>0</v>
          </cell>
          <cell r="W25">
            <v>0</v>
          </cell>
          <cell r="X25">
            <v>0</v>
          </cell>
          <cell r="Y25">
            <v>0</v>
          </cell>
          <cell r="Z25">
            <v>2669836.8822533851</v>
          </cell>
          <cell r="AA25">
            <v>5196429.9950060816</v>
          </cell>
          <cell r="AB25">
            <v>145509</v>
          </cell>
          <cell r="AC25">
            <v>2815345.8822533851</v>
          </cell>
          <cell r="AD25">
            <v>35637.112286600772</v>
          </cell>
          <cell r="AE25">
            <v>55248.467711999998</v>
          </cell>
          <cell r="AF25">
            <v>1564</v>
          </cell>
          <cell r="AG25">
            <v>37201.112286600772</v>
          </cell>
        </row>
        <row r="26">
          <cell r="A26">
            <v>2032</v>
          </cell>
          <cell r="B26">
            <v>21330.383757384079</v>
          </cell>
          <cell r="C26">
            <v>31671.292250255068</v>
          </cell>
          <cell r="D26">
            <v>897</v>
          </cell>
          <cell r="E26">
            <v>22227.383757384079</v>
          </cell>
          <cell r="F26">
            <v>2518355.1874287529</v>
          </cell>
          <cell r="G26">
            <v>4866679.9578779284</v>
          </cell>
          <cell r="H26">
            <v>136194</v>
          </cell>
          <cell r="I26">
            <v>2654549.1874287529</v>
          </cell>
          <cell r="J26">
            <v>211396.42203078192</v>
          </cell>
          <cell r="K26">
            <v>314140.65318857733</v>
          </cell>
          <cell r="L26">
            <v>8893</v>
          </cell>
          <cell r="M26">
            <v>220289.42203078192</v>
          </cell>
          <cell r="N26">
            <v>63982.620313102234</v>
          </cell>
          <cell r="O26">
            <v>95020.698272155438</v>
          </cell>
          <cell r="P26">
            <v>2690</v>
          </cell>
          <cell r="Q26">
            <v>66672.620313102234</v>
          </cell>
          <cell r="R26">
            <v>281.26872336433229</v>
          </cell>
          <cell r="S26">
            <v>412.40295723756344</v>
          </cell>
          <cell r="T26">
            <v>12</v>
          </cell>
          <cell r="U26">
            <v>293.26872336433229</v>
          </cell>
          <cell r="V26">
            <v>0</v>
          </cell>
          <cell r="W26">
            <v>0</v>
          </cell>
          <cell r="X26">
            <v>0</v>
          </cell>
          <cell r="Y26">
            <v>0</v>
          </cell>
          <cell r="Z26">
            <v>2815345.8822533851</v>
          </cell>
          <cell r="AA26">
            <v>5307925.0045461534</v>
          </cell>
          <cell r="AB26">
            <v>148686</v>
          </cell>
          <cell r="AC26">
            <v>2964031.8822533851</v>
          </cell>
          <cell r="AD26">
            <v>37201.112286600772</v>
          </cell>
          <cell r="AE26">
            <v>55248.467711999998</v>
          </cell>
          <cell r="AF26">
            <v>1564</v>
          </cell>
          <cell r="AG26">
            <v>38765.112286600772</v>
          </cell>
        </row>
        <row r="27">
          <cell r="A27">
            <v>2033</v>
          </cell>
          <cell r="B27">
            <v>22227.383757384079</v>
          </cell>
          <cell r="C27">
            <v>31671.292250255068</v>
          </cell>
          <cell r="D27">
            <v>897</v>
          </cell>
          <cell r="E27">
            <v>23124.383757384079</v>
          </cell>
          <cell r="F27">
            <v>2654549.1874287529</v>
          </cell>
          <cell r="G27">
            <v>4978728.6829684591</v>
          </cell>
          <cell r="H27">
            <v>139358</v>
          </cell>
          <cell r="I27">
            <v>2793907.1874287529</v>
          </cell>
          <cell r="J27">
            <v>220289.42203078192</v>
          </cell>
          <cell r="K27">
            <v>314140.65318857733</v>
          </cell>
          <cell r="L27">
            <v>8893</v>
          </cell>
          <cell r="M27">
            <v>229182.42203078192</v>
          </cell>
          <cell r="N27">
            <v>66672.620313102234</v>
          </cell>
          <cell r="O27">
            <v>95020.698272155438</v>
          </cell>
          <cell r="P27">
            <v>2690</v>
          </cell>
          <cell r="Q27">
            <v>69362.620313102234</v>
          </cell>
          <cell r="R27">
            <v>293.26872336433229</v>
          </cell>
          <cell r="S27">
            <v>412.40295723756344</v>
          </cell>
          <cell r="T27">
            <v>12</v>
          </cell>
          <cell r="U27">
            <v>305.26872336433229</v>
          </cell>
          <cell r="V27">
            <v>0</v>
          </cell>
          <cell r="W27">
            <v>0</v>
          </cell>
          <cell r="X27">
            <v>0</v>
          </cell>
          <cell r="Y27">
            <v>0</v>
          </cell>
          <cell r="Z27">
            <v>2964031.8822533851</v>
          </cell>
          <cell r="AA27">
            <v>5419973.7296366841</v>
          </cell>
          <cell r="AB27">
            <v>151850</v>
          </cell>
          <cell r="AC27">
            <v>3115881.8822533851</v>
          </cell>
          <cell r="AD27">
            <v>38765.112286600772</v>
          </cell>
          <cell r="AE27">
            <v>55248.467711999998</v>
          </cell>
          <cell r="AF27">
            <v>1564</v>
          </cell>
          <cell r="AG27">
            <v>40329.112286600772</v>
          </cell>
        </row>
        <row r="28">
          <cell r="A28">
            <v>2034</v>
          </cell>
          <cell r="B28">
            <v>23124.383757384079</v>
          </cell>
          <cell r="C28">
            <v>31671.292250255068</v>
          </cell>
          <cell r="D28">
            <v>897</v>
          </cell>
          <cell r="E28">
            <v>24021.383757384079</v>
          </cell>
          <cell r="F28">
            <v>2793907.1874287529</v>
          </cell>
          <cell r="G28">
            <v>5092006.2680086922</v>
          </cell>
          <cell r="H28">
            <v>142547</v>
          </cell>
          <cell r="I28">
            <v>2936454.1874287529</v>
          </cell>
          <cell r="J28">
            <v>229182.42203078192</v>
          </cell>
          <cell r="K28">
            <v>314140.65318857733</v>
          </cell>
          <cell r="L28">
            <v>8893</v>
          </cell>
          <cell r="M28">
            <v>238075.42203078192</v>
          </cell>
          <cell r="N28">
            <v>69362.620313102234</v>
          </cell>
          <cell r="O28">
            <v>95020.698272155438</v>
          </cell>
          <cell r="P28">
            <v>2690</v>
          </cell>
          <cell r="Q28">
            <v>72052.620313102234</v>
          </cell>
          <cell r="R28">
            <v>305.26872336433229</v>
          </cell>
          <cell r="S28">
            <v>412.40295723756344</v>
          </cell>
          <cell r="T28">
            <v>12</v>
          </cell>
          <cell r="U28">
            <v>317.26872336433229</v>
          </cell>
          <cell r="V28">
            <v>0</v>
          </cell>
          <cell r="W28">
            <v>0</v>
          </cell>
          <cell r="X28">
            <v>0</v>
          </cell>
          <cell r="Y28">
            <v>0</v>
          </cell>
          <cell r="Z28">
            <v>3115881.8822533851</v>
          </cell>
          <cell r="AA28">
            <v>5533251.3146769172</v>
          </cell>
          <cell r="AB28">
            <v>155039</v>
          </cell>
          <cell r="AC28">
            <v>3270920.8822533851</v>
          </cell>
          <cell r="AD28">
            <v>40329.112286600772</v>
          </cell>
          <cell r="AE28">
            <v>55248.467711999998</v>
          </cell>
          <cell r="AF28">
            <v>1564</v>
          </cell>
          <cell r="AG28">
            <v>41893.112286600772</v>
          </cell>
        </row>
        <row r="29">
          <cell r="A29">
            <v>2035</v>
          </cell>
          <cell r="B29">
            <v>24021.383757384079</v>
          </cell>
          <cell r="C29">
            <v>31671.292250255068</v>
          </cell>
          <cell r="D29">
            <v>897</v>
          </cell>
          <cell r="E29">
            <v>24918.383757384079</v>
          </cell>
          <cell r="F29">
            <v>2936454.1874287529</v>
          </cell>
          <cell r="G29">
            <v>5098756.2680086922</v>
          </cell>
          <cell r="H29">
            <v>144246</v>
          </cell>
          <cell r="I29">
            <v>3080700.1874287529</v>
          </cell>
          <cell r="J29">
            <v>238075.42203078192</v>
          </cell>
          <cell r="K29">
            <v>314140.65318857733</v>
          </cell>
          <cell r="L29">
            <v>8893</v>
          </cell>
          <cell r="M29">
            <v>246968.42203078192</v>
          </cell>
          <cell r="N29">
            <v>72052.620313102234</v>
          </cell>
          <cell r="O29">
            <v>95020.698272155438</v>
          </cell>
          <cell r="P29">
            <v>2690</v>
          </cell>
          <cell r="Q29">
            <v>74742.620313102234</v>
          </cell>
          <cell r="R29">
            <v>317.26872336433229</v>
          </cell>
          <cell r="S29">
            <v>412.40295723756344</v>
          </cell>
          <cell r="T29">
            <v>12</v>
          </cell>
          <cell r="U29">
            <v>329.26872336433229</v>
          </cell>
          <cell r="V29">
            <v>0</v>
          </cell>
          <cell r="W29">
            <v>0</v>
          </cell>
          <cell r="X29">
            <v>0</v>
          </cell>
          <cell r="Y29">
            <v>0</v>
          </cell>
          <cell r="Z29">
            <v>3270920.8822533851</v>
          </cell>
          <cell r="AA29">
            <v>5540001.3146769172</v>
          </cell>
          <cell r="AB29">
            <v>156738</v>
          </cell>
          <cell r="AC29">
            <v>3427658.8822533851</v>
          </cell>
          <cell r="AD29">
            <v>41893.112286600772</v>
          </cell>
          <cell r="AE29">
            <v>55248.467711999998</v>
          </cell>
          <cell r="AF29">
            <v>1564</v>
          </cell>
          <cell r="AG29">
            <v>43457.112286600772</v>
          </cell>
        </row>
        <row r="30">
          <cell r="A30">
            <v>2036</v>
          </cell>
          <cell r="B30">
            <v>24918.383757384079</v>
          </cell>
          <cell r="C30" t="e">
            <v>#N/A</v>
          </cell>
          <cell r="D30" t="e">
            <v>#N/A</v>
          </cell>
          <cell r="E30" t="e">
            <v>#N/A</v>
          </cell>
          <cell r="F30">
            <v>3080700.1874287529</v>
          </cell>
          <cell r="G30" t="e">
            <v>#N/A</v>
          </cell>
          <cell r="H30" t="e">
            <v>#N/A</v>
          </cell>
          <cell r="I30" t="e">
            <v>#N/A</v>
          </cell>
          <cell r="J30">
            <v>246968.42203078192</v>
          </cell>
          <cell r="K30" t="e">
            <v>#N/A</v>
          </cell>
          <cell r="L30" t="e">
            <v>#N/A</v>
          </cell>
          <cell r="M30" t="e">
            <v>#N/A</v>
          </cell>
          <cell r="N30">
            <v>74742.620313102234</v>
          </cell>
          <cell r="O30" t="e">
            <v>#N/A</v>
          </cell>
          <cell r="P30" t="e">
            <v>#N/A</v>
          </cell>
          <cell r="Q30" t="e">
            <v>#N/A</v>
          </cell>
          <cell r="R30">
            <v>329.26872336433229</v>
          </cell>
          <cell r="S30" t="e">
            <v>#N/A</v>
          </cell>
          <cell r="T30" t="e">
            <v>#N/A</v>
          </cell>
          <cell r="U30" t="e">
            <v>#N/A</v>
          </cell>
          <cell r="V30">
            <v>0</v>
          </cell>
          <cell r="W30" t="e">
            <v>#N/A</v>
          </cell>
          <cell r="X30" t="e">
            <v>#N/A</v>
          </cell>
          <cell r="Y30" t="e">
            <v>#N/A</v>
          </cell>
          <cell r="Z30">
            <v>3427658.8822533851</v>
          </cell>
          <cell r="AA30" t="e">
            <v>#N/A</v>
          </cell>
          <cell r="AB30" t="e">
            <v>#N/A</v>
          </cell>
          <cell r="AC30" t="e">
            <v>#N/A</v>
          </cell>
          <cell r="AD30">
            <v>43457.112286600772</v>
          </cell>
          <cell r="AE30">
            <v>55248.467711999998</v>
          </cell>
          <cell r="AF30">
            <v>1564</v>
          </cell>
          <cell r="AG30">
            <v>45021.112286600772</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row>
        <row r="32">
          <cell r="AF32"/>
        </row>
        <row r="33">
          <cell r="A33" t="str">
            <v>Substations</v>
          </cell>
          <cell r="B33"/>
          <cell r="C33"/>
          <cell r="D33"/>
          <cell r="E33"/>
          <cell r="F33"/>
          <cell r="G33"/>
          <cell r="H33"/>
          <cell r="I33"/>
          <cell r="J33"/>
          <cell r="K33"/>
          <cell r="L33"/>
          <cell r="M33"/>
          <cell r="N33"/>
          <cell r="O33"/>
          <cell r="P33"/>
          <cell r="Q33"/>
          <cell r="R33"/>
          <cell r="S33"/>
          <cell r="T33"/>
          <cell r="U33"/>
          <cell r="V33"/>
          <cell r="W33"/>
          <cell r="X33"/>
          <cell r="Y33"/>
          <cell r="Z33"/>
          <cell r="AA33"/>
          <cell r="AB33"/>
          <cell r="AC33"/>
          <cell r="AD33"/>
          <cell r="AE33"/>
          <cell r="AF33"/>
          <cell r="AG33"/>
        </row>
        <row r="34">
          <cell r="A34" t="str">
            <v>Fiscal Year</v>
          </cell>
          <cell r="B34" t="str">
            <v>GENERATION-INTEGRATION</v>
          </cell>
          <cell r="C34"/>
          <cell r="D34"/>
          <cell r="E34"/>
          <cell r="F34" t="str">
            <v>NETWORK</v>
          </cell>
          <cell r="G34"/>
          <cell r="H34"/>
          <cell r="I34"/>
          <cell r="J34" t="str">
            <v>SOUTHERN INTERTIE</v>
          </cell>
          <cell r="K34"/>
          <cell r="L34"/>
          <cell r="M34"/>
          <cell r="N34" t="str">
            <v>EASTERN INTERTIE</v>
          </cell>
          <cell r="O34"/>
          <cell r="P34"/>
          <cell r="Q34"/>
          <cell r="R34" t="str">
            <v>UTILITY DELIVERY</v>
          </cell>
          <cell r="S34"/>
          <cell r="T34"/>
          <cell r="U34"/>
          <cell r="V34" t="str">
            <v>DSI DELIVERY</v>
          </cell>
          <cell r="W34"/>
          <cell r="X34"/>
          <cell r="Y34"/>
          <cell r="Z34" t="str">
            <v>TOTAL SUBSTATIONS</v>
          </cell>
          <cell r="AA34"/>
          <cell r="AB34"/>
          <cell r="AC34"/>
          <cell r="AD34" t="str">
            <v>PFIA</v>
          </cell>
          <cell r="AE34"/>
          <cell r="AF34"/>
          <cell r="AG34"/>
        </row>
        <row r="35">
          <cell r="A35"/>
          <cell r="B35" t="str">
            <v>Prior Year Accum Depr</v>
          </cell>
          <cell r="C35" t="str">
            <v>Plant Invest</v>
          </cell>
          <cell r="D35" t="str">
            <v>Dep Exp</v>
          </cell>
          <cell r="E35" t="str">
            <v>Accum Depr</v>
          </cell>
          <cell r="F35" t="str">
            <v>Prior Year Accum Depr</v>
          </cell>
          <cell r="G35" t="str">
            <v>Plant Invest</v>
          </cell>
          <cell r="H35" t="str">
            <v>Dep Exp</v>
          </cell>
          <cell r="I35" t="str">
            <v>Accum Depr</v>
          </cell>
          <cell r="J35" t="str">
            <v>Prior Year Accum Depr</v>
          </cell>
          <cell r="K35" t="str">
            <v>Plant Invest</v>
          </cell>
          <cell r="L35" t="str">
            <v>Dep Exp</v>
          </cell>
          <cell r="M35" t="str">
            <v>Accum Depr</v>
          </cell>
          <cell r="N35" t="str">
            <v>Prior Year Accum Depr</v>
          </cell>
          <cell r="O35" t="str">
            <v>Plant Invest</v>
          </cell>
          <cell r="P35" t="str">
            <v>Dep Exp</v>
          </cell>
          <cell r="Q35" t="str">
            <v>Accum Depr</v>
          </cell>
          <cell r="R35" t="str">
            <v>Prior Year Accum Depr</v>
          </cell>
          <cell r="S35" t="str">
            <v>Plant Invest</v>
          </cell>
          <cell r="T35" t="str">
            <v>Dep Exp</v>
          </cell>
          <cell r="U35" t="str">
            <v>Accum Depr</v>
          </cell>
          <cell r="V35" t="str">
            <v>Prior Year Accum Depr</v>
          </cell>
          <cell r="W35" t="str">
            <v>Plant Invest</v>
          </cell>
          <cell r="X35" t="str">
            <v>Dep Exp</v>
          </cell>
          <cell r="Y35" t="str">
            <v>Accum Depr</v>
          </cell>
          <cell r="Z35" t="str">
            <v>Prior Year Accum Depr</v>
          </cell>
          <cell r="AA35" t="str">
            <v>Plant Invest</v>
          </cell>
          <cell r="AB35" t="str">
            <v>Dep Exp</v>
          </cell>
          <cell r="AC35" t="str">
            <v>Accum Depr</v>
          </cell>
          <cell r="AD35" t="str">
            <v>Prior Year Accum Depr</v>
          </cell>
          <cell r="AE35" t="str">
            <v>Plant Invest</v>
          </cell>
          <cell r="AF35" t="str">
            <v>Dep Exp</v>
          </cell>
          <cell r="AG35" t="str">
            <v>Accum Depr</v>
          </cell>
        </row>
        <row r="36">
          <cell r="A36">
            <v>2020</v>
          </cell>
          <cell r="B36"/>
          <cell r="C36">
            <v>110589.88616055911</v>
          </cell>
          <cell r="D36"/>
          <cell r="E36">
            <v>31647.300245660848</v>
          </cell>
          <cell r="F36"/>
          <cell r="G36">
            <v>3809024.2655804027</v>
          </cell>
          <cell r="H36"/>
          <cell r="I36">
            <v>1090021.3279975527</v>
          </cell>
          <cell r="J36"/>
          <cell r="K36">
            <v>815748.02797871584</v>
          </cell>
          <cell r="L36"/>
          <cell r="M36">
            <v>233441.08274754052</v>
          </cell>
          <cell r="N36"/>
          <cell r="O36">
            <v>28465.861135761617</v>
          </cell>
          <cell r="P36"/>
          <cell r="Q36">
            <v>8146.0220766193588</v>
          </cell>
          <cell r="R36"/>
          <cell r="S36">
            <v>18848.3579083734</v>
          </cell>
          <cell r="T36"/>
          <cell r="U36">
            <v>5393.7992213677253</v>
          </cell>
          <cell r="V36"/>
          <cell r="W36">
            <v>8279.6348671873475</v>
          </cell>
          <cell r="X36"/>
          <cell r="Y36">
            <v>2369.3675765783564</v>
          </cell>
          <cell r="Z36"/>
          <cell r="AA36">
            <v>4790956.0336309997</v>
          </cell>
          <cell r="AB36"/>
          <cell r="AC36">
            <v>1371018.8998653195</v>
          </cell>
          <cell r="AD36"/>
          <cell r="AE36">
            <v>120297.9966780001</v>
          </cell>
          <cell r="AF36"/>
          <cell r="AG36">
            <v>34425.452019119191</v>
          </cell>
        </row>
        <row r="37">
          <cell r="A37">
            <v>2021</v>
          </cell>
          <cell r="B37">
            <v>31647.300245660848</v>
          </cell>
          <cell r="C37">
            <v>110589.88616055911</v>
          </cell>
          <cell r="D37">
            <v>2495</v>
          </cell>
          <cell r="E37">
            <v>34142.300245660852</v>
          </cell>
          <cell r="F37">
            <v>1090021.3279975527</v>
          </cell>
          <cell r="G37">
            <v>3970311.0485329386</v>
          </cell>
          <cell r="H37">
            <v>87747</v>
          </cell>
          <cell r="I37">
            <v>1177768.3279975527</v>
          </cell>
          <cell r="J37">
            <v>233441.08274754052</v>
          </cell>
          <cell r="K37">
            <v>815748.02797871584</v>
          </cell>
          <cell r="L37">
            <v>18402</v>
          </cell>
          <cell r="M37">
            <v>251843.08274754052</v>
          </cell>
          <cell r="N37">
            <v>8146.0220766193588</v>
          </cell>
          <cell r="O37">
            <v>28465.861135761617</v>
          </cell>
          <cell r="P37">
            <v>642</v>
          </cell>
          <cell r="Q37">
            <v>8788.0220766193597</v>
          </cell>
          <cell r="R37">
            <v>5393.7992213677253</v>
          </cell>
          <cell r="S37">
            <v>18848.3579083734</v>
          </cell>
          <cell r="T37">
            <v>425</v>
          </cell>
          <cell r="U37">
            <v>5818.7992213677253</v>
          </cell>
          <cell r="V37">
            <v>2369.3675765783564</v>
          </cell>
          <cell r="W37">
            <v>8279.6348671873475</v>
          </cell>
          <cell r="X37">
            <v>187</v>
          </cell>
          <cell r="Y37">
            <v>2556.3675765783564</v>
          </cell>
          <cell r="Z37">
            <v>1371018.8998653195</v>
          </cell>
          <cell r="AA37">
            <v>4952242.8165835356</v>
          </cell>
          <cell r="AB37">
            <v>109898</v>
          </cell>
          <cell r="AC37">
            <v>1480916.8998653195</v>
          </cell>
          <cell r="AD37">
            <v>34425.452019119191</v>
          </cell>
          <cell r="AE37">
            <v>120297.9966780001</v>
          </cell>
          <cell r="AF37">
            <v>2714</v>
          </cell>
          <cell r="AG37">
            <v>37139.452019119191</v>
          </cell>
        </row>
        <row r="38">
          <cell r="A38">
            <v>2022</v>
          </cell>
          <cell r="B38">
            <v>34142.300245660852</v>
          </cell>
          <cell r="C38">
            <v>110589.88616055911</v>
          </cell>
          <cell r="D38">
            <v>2495</v>
          </cell>
          <cell r="E38">
            <v>36637.300245660852</v>
          </cell>
          <cell r="F38">
            <v>1177768.3279975527</v>
          </cell>
          <cell r="G38">
            <v>4159849.8343522516</v>
          </cell>
          <cell r="H38">
            <v>91704</v>
          </cell>
          <cell r="I38">
            <v>1269472.3279975527</v>
          </cell>
          <cell r="J38">
            <v>251843.08274754052</v>
          </cell>
          <cell r="K38">
            <v>815748.02797871584</v>
          </cell>
          <cell r="L38">
            <v>18402</v>
          </cell>
          <cell r="M38">
            <v>270245.08274754055</v>
          </cell>
          <cell r="N38">
            <v>8788.0220766193597</v>
          </cell>
          <cell r="O38">
            <v>28465.861135761617</v>
          </cell>
          <cell r="P38">
            <v>642</v>
          </cell>
          <cell r="Q38">
            <v>9430.0220766193597</v>
          </cell>
          <cell r="R38">
            <v>5818.7992213677253</v>
          </cell>
          <cell r="S38">
            <v>18848.3579083734</v>
          </cell>
          <cell r="T38">
            <v>425</v>
          </cell>
          <cell r="U38">
            <v>6243.7992213677253</v>
          </cell>
          <cell r="V38">
            <v>2556.3675765783564</v>
          </cell>
          <cell r="W38">
            <v>8279.6348671873475</v>
          </cell>
          <cell r="X38">
            <v>187</v>
          </cell>
          <cell r="Y38">
            <v>2743.3675765783564</v>
          </cell>
          <cell r="Z38">
            <v>1480916.8998653195</v>
          </cell>
          <cell r="AA38">
            <v>5141781.6024028491</v>
          </cell>
          <cell r="AB38">
            <v>113855</v>
          </cell>
          <cell r="AC38">
            <v>1594771.8998653195</v>
          </cell>
          <cell r="AD38">
            <v>37139.452019119191</v>
          </cell>
          <cell r="AE38">
            <v>120297.9966780001</v>
          </cell>
          <cell r="AF38">
            <v>2714</v>
          </cell>
          <cell r="AG38">
            <v>39853.452019119191</v>
          </cell>
        </row>
        <row r="39">
          <cell r="A39">
            <v>2023</v>
          </cell>
          <cell r="B39">
            <v>36637.300245660852</v>
          </cell>
          <cell r="C39">
            <v>110589.88616055911</v>
          </cell>
          <cell r="D39">
            <v>2495</v>
          </cell>
          <cell r="E39">
            <v>39132.300245660852</v>
          </cell>
          <cell r="F39">
            <v>1269472.3279975527</v>
          </cell>
          <cell r="G39">
            <v>4388588.2312927274</v>
          </cell>
          <cell r="H39">
            <v>96422</v>
          </cell>
          <cell r="I39">
            <v>1365894.3279975527</v>
          </cell>
          <cell r="J39">
            <v>270245.08274754055</v>
          </cell>
          <cell r="K39">
            <v>815748.02797871584</v>
          </cell>
          <cell r="L39">
            <v>18402</v>
          </cell>
          <cell r="M39">
            <v>288647.08274754055</v>
          </cell>
          <cell r="N39">
            <v>9430.0220766193597</v>
          </cell>
          <cell r="O39">
            <v>28465.861135761617</v>
          </cell>
          <cell r="P39">
            <v>642</v>
          </cell>
          <cell r="Q39">
            <v>10072.02207661936</v>
          </cell>
          <cell r="R39">
            <v>6243.7992213677253</v>
          </cell>
          <cell r="S39">
            <v>18848.3579083734</v>
          </cell>
          <cell r="T39">
            <v>425</v>
          </cell>
          <cell r="U39">
            <v>6668.7992213677253</v>
          </cell>
          <cell r="V39">
            <v>2743.3675765783564</v>
          </cell>
          <cell r="W39">
            <v>8279.6348671873475</v>
          </cell>
          <cell r="X39">
            <v>187</v>
          </cell>
          <cell r="Y39">
            <v>2930.3675765783564</v>
          </cell>
          <cell r="Z39">
            <v>1594771.8998653195</v>
          </cell>
          <cell r="AA39">
            <v>5370519.9993433245</v>
          </cell>
          <cell r="AB39">
            <v>118573</v>
          </cell>
          <cell r="AC39">
            <v>1713344.8998653195</v>
          </cell>
          <cell r="AD39">
            <v>39853.452019119191</v>
          </cell>
          <cell r="AE39">
            <v>120297.9966780001</v>
          </cell>
          <cell r="AF39">
            <v>2714</v>
          </cell>
          <cell r="AG39">
            <v>42567.452019119191</v>
          </cell>
        </row>
        <row r="40">
          <cell r="A40">
            <v>2024</v>
          </cell>
          <cell r="B40">
            <v>39132.300245660852</v>
          </cell>
          <cell r="C40">
            <v>110589.88616055911</v>
          </cell>
          <cell r="D40">
            <v>2495</v>
          </cell>
          <cell r="E40">
            <v>41627.300245660852</v>
          </cell>
          <cell r="F40">
            <v>1365894.3279975527</v>
          </cell>
          <cell r="G40">
            <v>4630751.0486207185</v>
          </cell>
          <cell r="H40">
            <v>101733</v>
          </cell>
          <cell r="I40">
            <v>1467627.3279975527</v>
          </cell>
          <cell r="J40">
            <v>288647.08274754055</v>
          </cell>
          <cell r="K40">
            <v>815748.02797871584</v>
          </cell>
          <cell r="L40">
            <v>18402</v>
          </cell>
          <cell r="M40">
            <v>307049.08274754055</v>
          </cell>
          <cell r="N40">
            <v>10072.02207661936</v>
          </cell>
          <cell r="O40">
            <v>28465.861135761617</v>
          </cell>
          <cell r="P40">
            <v>642</v>
          </cell>
          <cell r="Q40">
            <v>10714.02207661936</v>
          </cell>
          <cell r="R40">
            <v>6668.7992213677253</v>
          </cell>
          <cell r="S40">
            <v>18848.3579083734</v>
          </cell>
          <cell r="T40">
            <v>425</v>
          </cell>
          <cell r="U40">
            <v>7093.7992213677253</v>
          </cell>
          <cell r="V40">
            <v>2930.3675765783564</v>
          </cell>
          <cell r="W40">
            <v>8279.6348671873475</v>
          </cell>
          <cell r="X40">
            <v>187</v>
          </cell>
          <cell r="Y40">
            <v>3117.3675765783564</v>
          </cell>
          <cell r="Z40">
            <v>1713344.8998653195</v>
          </cell>
          <cell r="AA40">
            <v>5612682.8166713156</v>
          </cell>
          <cell r="AB40">
            <v>123884</v>
          </cell>
          <cell r="AC40">
            <v>1837228.8998653195</v>
          </cell>
          <cell r="AD40">
            <v>42567.452019119191</v>
          </cell>
          <cell r="AE40">
            <v>120297.9966780001</v>
          </cell>
          <cell r="AF40">
            <v>2714</v>
          </cell>
          <cell r="AG40">
            <v>45281.452019119191</v>
          </cell>
        </row>
        <row r="41">
          <cell r="A41">
            <v>2025</v>
          </cell>
          <cell r="B41">
            <v>41627.300245660852</v>
          </cell>
          <cell r="C41">
            <v>110589.88616055911</v>
          </cell>
          <cell r="D41">
            <v>2495</v>
          </cell>
          <cell r="E41">
            <v>44122.300245660852</v>
          </cell>
          <cell r="F41">
            <v>1467627.3279975527</v>
          </cell>
          <cell r="G41">
            <v>4927600.4564793808</v>
          </cell>
          <cell r="H41">
            <v>107813</v>
          </cell>
          <cell r="I41">
            <v>1575440.3279975527</v>
          </cell>
          <cell r="J41">
            <v>307049.08274754055</v>
          </cell>
          <cell r="K41">
            <v>815748.02797871584</v>
          </cell>
          <cell r="L41">
            <v>18402</v>
          </cell>
          <cell r="M41">
            <v>325451.08274754055</v>
          </cell>
          <cell r="N41">
            <v>10714.02207661936</v>
          </cell>
          <cell r="O41">
            <v>28465.861135761617</v>
          </cell>
          <cell r="P41">
            <v>642</v>
          </cell>
          <cell r="Q41">
            <v>11356.02207661936</v>
          </cell>
          <cell r="R41">
            <v>7093.7992213677253</v>
          </cell>
          <cell r="S41">
            <v>18848.3579083734</v>
          </cell>
          <cell r="T41">
            <v>425</v>
          </cell>
          <cell r="U41">
            <v>7518.7992213677253</v>
          </cell>
          <cell r="V41">
            <v>3117.3675765783564</v>
          </cell>
          <cell r="W41">
            <v>8279.6348671873475</v>
          </cell>
          <cell r="X41">
            <v>187</v>
          </cell>
          <cell r="Y41">
            <v>3304.3675765783564</v>
          </cell>
          <cell r="Z41">
            <v>1837228.8998653195</v>
          </cell>
          <cell r="AA41">
            <v>5909532.2245299779</v>
          </cell>
          <cell r="AB41">
            <v>129964</v>
          </cell>
          <cell r="AC41">
            <v>1967192.8998653195</v>
          </cell>
          <cell r="AD41">
            <v>45281.452019119191</v>
          </cell>
          <cell r="AE41">
            <v>120297.9966780001</v>
          </cell>
          <cell r="AF41">
            <v>2714</v>
          </cell>
          <cell r="AG41">
            <v>47995.452019119191</v>
          </cell>
        </row>
        <row r="42">
          <cell r="A42">
            <v>2026</v>
          </cell>
          <cell r="B42">
            <v>44122.300245660852</v>
          </cell>
          <cell r="C42">
            <v>110589.88616055911</v>
          </cell>
          <cell r="D42">
            <v>2495</v>
          </cell>
          <cell r="E42">
            <v>46617.300245660852</v>
          </cell>
          <cell r="F42">
            <v>1575440.3279975527</v>
          </cell>
          <cell r="G42">
            <v>5206235.0737232417</v>
          </cell>
          <cell r="H42">
            <v>114304</v>
          </cell>
          <cell r="I42">
            <v>1689744.3279975527</v>
          </cell>
          <cell r="J42">
            <v>325451.08274754055</v>
          </cell>
          <cell r="K42">
            <v>815748.02797871584</v>
          </cell>
          <cell r="L42">
            <v>18402</v>
          </cell>
          <cell r="M42">
            <v>343853.08274754055</v>
          </cell>
          <cell r="N42">
            <v>11356.02207661936</v>
          </cell>
          <cell r="O42">
            <v>28465.861135761617</v>
          </cell>
          <cell r="P42">
            <v>642</v>
          </cell>
          <cell r="Q42">
            <v>11998.02207661936</v>
          </cell>
          <cell r="R42">
            <v>7518.7992213677253</v>
          </cell>
          <cell r="S42">
            <v>18848.3579083734</v>
          </cell>
          <cell r="T42">
            <v>425</v>
          </cell>
          <cell r="U42">
            <v>7943.7992213677253</v>
          </cell>
          <cell r="V42">
            <v>3304.3675765783564</v>
          </cell>
          <cell r="W42">
            <v>8279.6348671873475</v>
          </cell>
          <cell r="X42">
            <v>187</v>
          </cell>
          <cell r="Y42">
            <v>3491.3675765783564</v>
          </cell>
          <cell r="Z42">
            <v>1967192.8998653195</v>
          </cell>
          <cell r="AA42">
            <v>6188166.8417738387</v>
          </cell>
          <cell r="AB42">
            <v>136455</v>
          </cell>
          <cell r="AC42">
            <v>2103647.8998653195</v>
          </cell>
          <cell r="AD42">
            <v>47995.452019119191</v>
          </cell>
          <cell r="AE42">
            <v>120297.9966780001</v>
          </cell>
          <cell r="AF42">
            <v>2714</v>
          </cell>
          <cell r="AG42">
            <v>50709.452019119191</v>
          </cell>
        </row>
        <row r="43">
          <cell r="A43">
            <v>2027</v>
          </cell>
          <cell r="B43">
            <v>46617.300245660852</v>
          </cell>
          <cell r="C43">
            <v>110589.88616055911</v>
          </cell>
          <cell r="D43">
            <v>2495</v>
          </cell>
          <cell r="E43">
            <v>49112.300245660852</v>
          </cell>
          <cell r="F43">
            <v>1689744.3279975527</v>
          </cell>
          <cell r="G43">
            <v>5431296.9422548432</v>
          </cell>
          <cell r="H43">
            <v>119986</v>
          </cell>
          <cell r="I43">
            <v>1809730.3279975527</v>
          </cell>
          <cell r="J43">
            <v>343853.08274754055</v>
          </cell>
          <cell r="K43">
            <v>815909.19200715993</v>
          </cell>
          <cell r="L43">
            <v>18404</v>
          </cell>
          <cell r="M43">
            <v>362257.08274754055</v>
          </cell>
          <cell r="N43">
            <v>11998.02207661936</v>
          </cell>
          <cell r="O43">
            <v>28465.861135761617</v>
          </cell>
          <cell r="P43">
            <v>642</v>
          </cell>
          <cell r="Q43">
            <v>12640.02207661936</v>
          </cell>
          <cell r="R43">
            <v>7943.7992213677253</v>
          </cell>
          <cell r="S43">
            <v>18848.3579083734</v>
          </cell>
          <cell r="T43">
            <v>425</v>
          </cell>
          <cell r="U43">
            <v>8368.7992213677244</v>
          </cell>
          <cell r="V43">
            <v>3491.3675765783564</v>
          </cell>
          <cell r="W43">
            <v>8279.6348671873475</v>
          </cell>
          <cell r="X43">
            <v>187</v>
          </cell>
          <cell r="Y43">
            <v>3678.3675765783564</v>
          </cell>
          <cell r="Z43">
            <v>2103647.8998653195</v>
          </cell>
          <cell r="AA43">
            <v>6413389.8743338846</v>
          </cell>
          <cell r="AB43">
            <v>142139</v>
          </cell>
          <cell r="AC43">
            <v>2245786.8998653195</v>
          </cell>
          <cell r="AD43">
            <v>50709.452019119191</v>
          </cell>
          <cell r="AE43">
            <v>120297.9966780001</v>
          </cell>
          <cell r="AF43">
            <v>2714</v>
          </cell>
          <cell r="AG43">
            <v>53423.452019119191</v>
          </cell>
        </row>
        <row r="44">
          <cell r="A44">
            <v>2028</v>
          </cell>
          <cell r="B44">
            <v>49112.300245660852</v>
          </cell>
          <cell r="C44">
            <v>110589.88616055911</v>
          </cell>
          <cell r="D44">
            <v>2495</v>
          </cell>
          <cell r="E44">
            <v>51607.300245660852</v>
          </cell>
          <cell r="F44">
            <v>1809730.3279975527</v>
          </cell>
          <cell r="G44">
            <v>5621608.0661468515</v>
          </cell>
          <cell r="H44">
            <v>124671</v>
          </cell>
          <cell r="I44">
            <v>1934401.3279975527</v>
          </cell>
          <cell r="J44">
            <v>362257.08274754055</v>
          </cell>
          <cell r="K44">
            <v>815909.19200715993</v>
          </cell>
          <cell r="L44">
            <v>18406</v>
          </cell>
          <cell r="M44">
            <v>380663.08274754055</v>
          </cell>
          <cell r="N44">
            <v>12640.02207661936</v>
          </cell>
          <cell r="O44">
            <v>28465.861135761617</v>
          </cell>
          <cell r="P44">
            <v>642</v>
          </cell>
          <cell r="Q44">
            <v>13282.02207661936</v>
          </cell>
          <cell r="R44">
            <v>8368.7992213677244</v>
          </cell>
          <cell r="S44">
            <v>18848.3579083734</v>
          </cell>
          <cell r="T44">
            <v>425</v>
          </cell>
          <cell r="U44">
            <v>8793.7992213677244</v>
          </cell>
          <cell r="V44">
            <v>3678.3675765783564</v>
          </cell>
          <cell r="W44">
            <v>8279.6348671873475</v>
          </cell>
          <cell r="X44">
            <v>187</v>
          </cell>
          <cell r="Y44">
            <v>3865.3675765783564</v>
          </cell>
          <cell r="Z44">
            <v>2245786.8998653195</v>
          </cell>
          <cell r="AA44">
            <v>6603700.9982258929</v>
          </cell>
          <cell r="AB44">
            <v>146826</v>
          </cell>
          <cell r="AC44">
            <v>2392612.8998653195</v>
          </cell>
          <cell r="AD44">
            <v>53423.452019119191</v>
          </cell>
          <cell r="AE44">
            <v>120297.9966780001</v>
          </cell>
          <cell r="AF44">
            <v>2714</v>
          </cell>
          <cell r="AG44">
            <v>56137.452019119191</v>
          </cell>
        </row>
        <row r="45">
          <cell r="A45">
            <v>2029</v>
          </cell>
          <cell r="B45">
            <v>51607.300245660852</v>
          </cell>
          <cell r="C45">
            <v>110589.88616055911</v>
          </cell>
          <cell r="D45">
            <v>2495</v>
          </cell>
          <cell r="E45">
            <v>54102.300245660852</v>
          </cell>
          <cell r="F45">
            <v>1934401.3279975527</v>
          </cell>
          <cell r="G45">
            <v>5819127.1704899417</v>
          </cell>
          <cell r="H45">
            <v>129045</v>
          </cell>
          <cell r="I45">
            <v>2063446.3279975527</v>
          </cell>
          <cell r="J45">
            <v>380663.08274754055</v>
          </cell>
          <cell r="K45">
            <v>815909.19200715993</v>
          </cell>
          <cell r="L45">
            <v>18406</v>
          </cell>
          <cell r="M45">
            <v>399069.08274754055</v>
          </cell>
          <cell r="N45">
            <v>13282.02207661936</v>
          </cell>
          <cell r="O45">
            <v>28465.861135761617</v>
          </cell>
          <cell r="P45">
            <v>642</v>
          </cell>
          <cell r="Q45">
            <v>13924.02207661936</v>
          </cell>
          <cell r="R45">
            <v>8793.7992213677244</v>
          </cell>
          <cell r="S45">
            <v>18848.3579083734</v>
          </cell>
          <cell r="T45">
            <v>425</v>
          </cell>
          <cell r="U45">
            <v>9218.7992213677244</v>
          </cell>
          <cell r="V45">
            <v>3865.3675765783564</v>
          </cell>
          <cell r="W45">
            <v>8279.6348671873475</v>
          </cell>
          <cell r="X45">
            <v>187</v>
          </cell>
          <cell r="Y45">
            <v>4052.3675765783564</v>
          </cell>
          <cell r="Z45">
            <v>2392612.8998653195</v>
          </cell>
          <cell r="AA45">
            <v>6801220.1025689831</v>
          </cell>
          <cell r="AB45">
            <v>151200</v>
          </cell>
          <cell r="AC45">
            <v>2543812.8998653195</v>
          </cell>
          <cell r="AD45">
            <v>56137.452019119191</v>
          </cell>
          <cell r="AE45">
            <v>120297.9966780001</v>
          </cell>
          <cell r="AF45">
            <v>2714</v>
          </cell>
          <cell r="AG45">
            <v>58851.452019119191</v>
          </cell>
        </row>
        <row r="46">
          <cell r="A46">
            <v>2030</v>
          </cell>
          <cell r="B46">
            <v>54102.300245660852</v>
          </cell>
          <cell r="C46">
            <v>110589.88616055911</v>
          </cell>
          <cell r="D46">
            <v>2495</v>
          </cell>
          <cell r="E46">
            <v>56597.300245660852</v>
          </cell>
          <cell r="F46">
            <v>2063446.3279975527</v>
          </cell>
          <cell r="G46">
            <v>6020850.9283594275</v>
          </cell>
          <cell r="H46">
            <v>133549</v>
          </cell>
          <cell r="I46">
            <v>2196995.3279975527</v>
          </cell>
          <cell r="J46">
            <v>399069.08274754055</v>
          </cell>
          <cell r="K46">
            <v>815909.19200715993</v>
          </cell>
          <cell r="L46">
            <v>18406</v>
          </cell>
          <cell r="M46">
            <v>417475.08274754055</v>
          </cell>
          <cell r="N46">
            <v>13924.02207661936</v>
          </cell>
          <cell r="O46">
            <v>28465.861135761617</v>
          </cell>
          <cell r="P46">
            <v>642</v>
          </cell>
          <cell r="Q46">
            <v>14566.02207661936</v>
          </cell>
          <cell r="R46">
            <v>9218.7992213677244</v>
          </cell>
          <cell r="S46">
            <v>18848.3579083734</v>
          </cell>
          <cell r="T46">
            <v>425</v>
          </cell>
          <cell r="U46">
            <v>9643.7992213677244</v>
          </cell>
          <cell r="V46">
            <v>4052.3675765783564</v>
          </cell>
          <cell r="W46">
            <v>8279.6348671873475</v>
          </cell>
          <cell r="X46">
            <v>187</v>
          </cell>
          <cell r="Y46">
            <v>4239.3675765783564</v>
          </cell>
          <cell r="Z46">
            <v>2543812.8998653195</v>
          </cell>
          <cell r="AA46">
            <v>7002943.8604384689</v>
          </cell>
          <cell r="AB46">
            <v>155704</v>
          </cell>
          <cell r="AC46">
            <v>2699516.8998653195</v>
          </cell>
          <cell r="AD46">
            <v>58851.452019119191</v>
          </cell>
          <cell r="AE46">
            <v>120297.9966780001</v>
          </cell>
          <cell r="AF46">
            <v>2714</v>
          </cell>
          <cell r="AG46">
            <v>61565.452019119191</v>
          </cell>
        </row>
        <row r="47">
          <cell r="A47">
            <v>2031</v>
          </cell>
          <cell r="B47">
            <v>56597.300245660852</v>
          </cell>
          <cell r="C47">
            <v>110589.88616055911</v>
          </cell>
          <cell r="D47">
            <v>2495</v>
          </cell>
          <cell r="E47">
            <v>59092.300245660852</v>
          </cell>
          <cell r="F47">
            <v>2196995.3279975527</v>
          </cell>
          <cell r="G47">
            <v>6266201.991723489</v>
          </cell>
          <cell r="H47">
            <v>138591</v>
          </cell>
          <cell r="I47">
            <v>2335586.3279975527</v>
          </cell>
          <cell r="J47">
            <v>417475.08274754055</v>
          </cell>
          <cell r="K47">
            <v>815909.19200715993</v>
          </cell>
          <cell r="L47">
            <v>18406</v>
          </cell>
          <cell r="M47">
            <v>435881.08274754055</v>
          </cell>
          <cell r="N47">
            <v>14566.02207661936</v>
          </cell>
          <cell r="O47">
            <v>28465.861135761617</v>
          </cell>
          <cell r="P47">
            <v>642</v>
          </cell>
          <cell r="Q47">
            <v>15208.02207661936</v>
          </cell>
          <cell r="R47">
            <v>9643.7992213677244</v>
          </cell>
          <cell r="S47">
            <v>18848.3579083734</v>
          </cell>
          <cell r="T47">
            <v>425</v>
          </cell>
          <cell r="U47">
            <v>10068.799221367724</v>
          </cell>
          <cell r="V47">
            <v>4239.3675765783564</v>
          </cell>
          <cell r="W47">
            <v>8279.6348671873475</v>
          </cell>
          <cell r="X47">
            <v>187</v>
          </cell>
          <cell r="Y47">
            <v>4426.3675765783564</v>
          </cell>
          <cell r="Z47">
            <v>2699516.8998653195</v>
          </cell>
          <cell r="AA47">
            <v>7248294.9238025304</v>
          </cell>
          <cell r="AB47">
            <v>160746</v>
          </cell>
          <cell r="AC47">
            <v>2860262.8998653195</v>
          </cell>
          <cell r="AD47">
            <v>61565.452019119191</v>
          </cell>
          <cell r="AE47">
            <v>120297.9966780001</v>
          </cell>
          <cell r="AF47">
            <v>2714</v>
          </cell>
          <cell r="AG47">
            <v>64279.452019119191</v>
          </cell>
        </row>
        <row r="48">
          <cell r="A48">
            <v>2032</v>
          </cell>
          <cell r="B48">
            <v>59092.300245660852</v>
          </cell>
          <cell r="C48">
            <v>110589.88616055911</v>
          </cell>
          <cell r="D48">
            <v>2495</v>
          </cell>
          <cell r="E48">
            <v>61587.300245660852</v>
          </cell>
          <cell r="F48">
            <v>2335586.3279975527</v>
          </cell>
          <cell r="G48">
            <v>6513712.7211501887</v>
          </cell>
          <cell r="H48">
            <v>144151</v>
          </cell>
          <cell r="I48">
            <v>2479737.3279975527</v>
          </cell>
          <cell r="J48">
            <v>435881.08274754055</v>
          </cell>
          <cell r="K48">
            <v>815909.19200715993</v>
          </cell>
          <cell r="L48">
            <v>18406</v>
          </cell>
          <cell r="M48">
            <v>454287.08274754055</v>
          </cell>
          <cell r="N48">
            <v>15208.02207661936</v>
          </cell>
          <cell r="O48">
            <v>28465.861135761617</v>
          </cell>
          <cell r="P48">
            <v>642</v>
          </cell>
          <cell r="Q48">
            <v>15850.02207661936</v>
          </cell>
          <cell r="R48">
            <v>10068.799221367724</v>
          </cell>
          <cell r="S48">
            <v>18848.3579083734</v>
          </cell>
          <cell r="T48">
            <v>425</v>
          </cell>
          <cell r="U48">
            <v>10493.799221367724</v>
          </cell>
          <cell r="V48">
            <v>4426.3675765783564</v>
          </cell>
          <cell r="W48">
            <v>8279.6348671873475</v>
          </cell>
          <cell r="X48">
            <v>187</v>
          </cell>
          <cell r="Y48">
            <v>4613.3675765783564</v>
          </cell>
          <cell r="Z48">
            <v>2860262.8998653195</v>
          </cell>
          <cell r="AA48">
            <v>7495805.6532292301</v>
          </cell>
          <cell r="AB48">
            <v>166306</v>
          </cell>
          <cell r="AC48">
            <v>3026568.8998653195</v>
          </cell>
          <cell r="AD48">
            <v>64279.452019119191</v>
          </cell>
          <cell r="AE48">
            <v>120297.9966780001</v>
          </cell>
          <cell r="AF48">
            <v>2714</v>
          </cell>
          <cell r="AG48">
            <v>66993.452019119199</v>
          </cell>
        </row>
        <row r="49">
          <cell r="A49">
            <v>2033</v>
          </cell>
          <cell r="B49">
            <v>61587.300245660852</v>
          </cell>
          <cell r="C49">
            <v>110589.88616055911</v>
          </cell>
          <cell r="D49">
            <v>2495</v>
          </cell>
          <cell r="E49">
            <v>64082.300245660852</v>
          </cell>
          <cell r="F49">
            <v>2479737.3279975527</v>
          </cell>
          <cell r="G49">
            <v>6758520.5955165243</v>
          </cell>
          <cell r="H49">
            <v>149704</v>
          </cell>
          <cell r="I49">
            <v>2629441.3279975527</v>
          </cell>
          <cell r="J49">
            <v>454287.08274754055</v>
          </cell>
          <cell r="K49">
            <v>815909.19200715993</v>
          </cell>
          <cell r="L49">
            <v>18406</v>
          </cell>
          <cell r="M49">
            <v>472693.08274754055</v>
          </cell>
          <cell r="N49">
            <v>15850.02207661936</v>
          </cell>
          <cell r="O49">
            <v>28465.861135761617</v>
          </cell>
          <cell r="P49">
            <v>642</v>
          </cell>
          <cell r="Q49">
            <v>16492.02207661936</v>
          </cell>
          <cell r="R49">
            <v>10493.799221367724</v>
          </cell>
          <cell r="S49">
            <v>18848.3579083734</v>
          </cell>
          <cell r="T49">
            <v>425</v>
          </cell>
          <cell r="U49">
            <v>10918.799221367724</v>
          </cell>
          <cell r="V49">
            <v>4613.3675765783564</v>
          </cell>
          <cell r="W49">
            <v>8279.6348671873475</v>
          </cell>
          <cell r="X49">
            <v>187</v>
          </cell>
          <cell r="Y49">
            <v>4800.3675765783564</v>
          </cell>
          <cell r="Z49">
            <v>3026568.8998653195</v>
          </cell>
          <cell r="AA49">
            <v>7740613.5275955657</v>
          </cell>
          <cell r="AB49">
            <v>171859</v>
          </cell>
          <cell r="AC49">
            <v>3198427.8998653195</v>
          </cell>
          <cell r="AD49">
            <v>66993.452019119199</v>
          </cell>
          <cell r="AE49">
            <v>120297.9966780001</v>
          </cell>
          <cell r="AF49">
            <v>2714</v>
          </cell>
          <cell r="AG49">
            <v>69707.452019119199</v>
          </cell>
        </row>
        <row r="50">
          <cell r="A50">
            <v>2034</v>
          </cell>
          <cell r="B50">
            <v>64082.300245660852</v>
          </cell>
          <cell r="C50">
            <v>110589.88616055911</v>
          </cell>
          <cell r="D50">
            <v>2495</v>
          </cell>
          <cell r="E50">
            <v>66577.300245660852</v>
          </cell>
          <cell r="F50">
            <v>2629441.3279975527</v>
          </cell>
          <cell r="G50">
            <v>7004730.2611719305</v>
          </cell>
          <cell r="H50">
            <v>155242</v>
          </cell>
          <cell r="I50">
            <v>2784683.3279975527</v>
          </cell>
          <cell r="J50">
            <v>472693.08274754055</v>
          </cell>
          <cell r="K50">
            <v>815909.19200715993</v>
          </cell>
          <cell r="L50">
            <v>18406</v>
          </cell>
          <cell r="M50">
            <v>491099.08274754055</v>
          </cell>
          <cell r="N50">
            <v>16492.02207661936</v>
          </cell>
          <cell r="O50">
            <v>28465.861135761617</v>
          </cell>
          <cell r="P50">
            <v>642</v>
          </cell>
          <cell r="Q50">
            <v>17134.02207661936</v>
          </cell>
          <cell r="R50">
            <v>10918.799221367724</v>
          </cell>
          <cell r="S50">
            <v>18848.3579083734</v>
          </cell>
          <cell r="T50">
            <v>425</v>
          </cell>
          <cell r="U50">
            <v>11343.799221367724</v>
          </cell>
          <cell r="V50">
            <v>4800.3675765783564</v>
          </cell>
          <cell r="W50">
            <v>8279.6348671873475</v>
          </cell>
          <cell r="X50">
            <v>187</v>
          </cell>
          <cell r="Y50">
            <v>4987.3675765783564</v>
          </cell>
          <cell r="Z50">
            <v>3198427.8998653195</v>
          </cell>
          <cell r="AA50">
            <v>7986823.1932509718</v>
          </cell>
          <cell r="AB50">
            <v>177397</v>
          </cell>
          <cell r="AC50">
            <v>3375824.8998653195</v>
          </cell>
          <cell r="AD50">
            <v>69707.452019119199</v>
          </cell>
          <cell r="AE50">
            <v>120297.9966780001</v>
          </cell>
          <cell r="AF50">
            <v>2714</v>
          </cell>
          <cell r="AG50">
            <v>72421.452019119199</v>
          </cell>
        </row>
        <row r="51">
          <cell r="A51">
            <v>2035</v>
          </cell>
          <cell r="B51">
            <v>66577.300245660852</v>
          </cell>
          <cell r="C51">
            <v>110589.88616055911</v>
          </cell>
          <cell r="D51">
            <v>2495</v>
          </cell>
          <cell r="E51">
            <v>69072.300245660852</v>
          </cell>
          <cell r="F51">
            <v>2784683.3279975527</v>
          </cell>
          <cell r="G51">
            <v>7012980.2611719305</v>
          </cell>
          <cell r="H51">
            <v>158112</v>
          </cell>
          <cell r="I51">
            <v>2942795.3279975527</v>
          </cell>
          <cell r="J51">
            <v>491099.08274754055</v>
          </cell>
          <cell r="K51">
            <v>815909.19200715993</v>
          </cell>
          <cell r="L51">
            <v>18406</v>
          </cell>
          <cell r="M51">
            <v>509505.08274754055</v>
          </cell>
          <cell r="N51">
            <v>17134.02207661936</v>
          </cell>
          <cell r="O51">
            <v>28465.861135761617</v>
          </cell>
          <cell r="P51">
            <v>642</v>
          </cell>
          <cell r="Q51">
            <v>17776.02207661936</v>
          </cell>
          <cell r="R51">
            <v>11343.799221367724</v>
          </cell>
          <cell r="S51">
            <v>18848.3579083734</v>
          </cell>
          <cell r="T51">
            <v>425</v>
          </cell>
          <cell r="U51">
            <v>11768.799221367724</v>
          </cell>
          <cell r="V51">
            <v>4987.3675765783564</v>
          </cell>
          <cell r="W51">
            <v>8279.6348671873475</v>
          </cell>
          <cell r="X51">
            <v>187</v>
          </cell>
          <cell r="Y51">
            <v>5174.3675765783564</v>
          </cell>
          <cell r="Z51">
            <v>3375824.8998653195</v>
          </cell>
          <cell r="AA51">
            <v>7995073.1932509718</v>
          </cell>
          <cell r="AB51">
            <v>180267</v>
          </cell>
          <cell r="AC51">
            <v>3556091.8998653195</v>
          </cell>
          <cell r="AD51">
            <v>72421.452019119199</v>
          </cell>
          <cell r="AE51">
            <v>120297.9966780001</v>
          </cell>
          <cell r="AF51">
            <v>2714</v>
          </cell>
          <cell r="AG51">
            <v>75135.452019119199</v>
          </cell>
        </row>
        <row r="52">
          <cell r="A52">
            <v>2036</v>
          </cell>
          <cell r="B52">
            <v>69072.300245660852</v>
          </cell>
          <cell r="C52" t="e">
            <v>#N/A</v>
          </cell>
          <cell r="D52" t="e">
            <v>#N/A</v>
          </cell>
          <cell r="E52" t="e">
            <v>#N/A</v>
          </cell>
          <cell r="F52">
            <v>2942795.3279975527</v>
          </cell>
          <cell r="G52" t="e">
            <v>#N/A</v>
          </cell>
          <cell r="H52" t="e">
            <v>#N/A</v>
          </cell>
          <cell r="I52" t="e">
            <v>#N/A</v>
          </cell>
          <cell r="J52">
            <v>509505.08274754055</v>
          </cell>
          <cell r="K52" t="e">
            <v>#N/A</v>
          </cell>
          <cell r="L52" t="e">
            <v>#N/A</v>
          </cell>
          <cell r="M52" t="e">
            <v>#N/A</v>
          </cell>
          <cell r="N52">
            <v>17776.02207661936</v>
          </cell>
          <cell r="O52" t="e">
            <v>#N/A</v>
          </cell>
          <cell r="P52" t="e">
            <v>#N/A</v>
          </cell>
          <cell r="Q52" t="e">
            <v>#N/A</v>
          </cell>
          <cell r="R52">
            <v>11768.799221367724</v>
          </cell>
          <cell r="S52" t="e">
            <v>#N/A</v>
          </cell>
          <cell r="T52" t="e">
            <v>#N/A</v>
          </cell>
          <cell r="U52" t="e">
            <v>#N/A</v>
          </cell>
          <cell r="V52">
            <v>5174.3675765783564</v>
          </cell>
          <cell r="W52" t="e">
            <v>#N/A</v>
          </cell>
          <cell r="X52" t="e">
            <v>#N/A</v>
          </cell>
          <cell r="Y52" t="e">
            <v>#N/A</v>
          </cell>
          <cell r="Z52">
            <v>3556091.8998653195</v>
          </cell>
          <cell r="AA52" t="e">
            <v>#N/A</v>
          </cell>
          <cell r="AB52" t="e">
            <v>#N/A</v>
          </cell>
          <cell r="AC52" t="e">
            <v>#N/A</v>
          </cell>
          <cell r="AD52">
            <v>75135.452019119199</v>
          </cell>
          <cell r="AE52">
            <v>120297.9966780001</v>
          </cell>
          <cell r="AF52">
            <v>2714</v>
          </cell>
          <cell r="AG52">
            <v>77849.452019119199</v>
          </cell>
        </row>
        <row r="53">
          <cell r="A53"/>
          <cell r="B53"/>
          <cell r="C53"/>
          <cell r="D53"/>
          <cell r="E53"/>
          <cell r="F53"/>
          <cell r="G53"/>
          <cell r="H53"/>
          <cell r="I53"/>
          <cell r="J53"/>
          <cell r="K53"/>
          <cell r="L53"/>
          <cell r="M53"/>
          <cell r="N53"/>
          <cell r="O53"/>
          <cell r="P53"/>
          <cell r="Q53"/>
          <cell r="R53"/>
          <cell r="S53"/>
          <cell r="T53"/>
          <cell r="U53"/>
          <cell r="V53"/>
          <cell r="W53"/>
          <cell r="X53"/>
          <cell r="Y53"/>
          <cell r="Z53"/>
          <cell r="AA53"/>
          <cell r="AB53"/>
          <cell r="AC53"/>
          <cell r="AD53"/>
          <cell r="AE53"/>
          <cell r="AF53"/>
          <cell r="AG53"/>
        </row>
        <row r="55">
          <cell r="A55" t="str">
            <v>Intangible Plant</v>
          </cell>
          <cell r="B55"/>
          <cell r="C55"/>
          <cell r="D55"/>
          <cell r="E55"/>
          <cell r="F55"/>
          <cell r="G55"/>
          <cell r="H55"/>
          <cell r="I55"/>
          <cell r="J55"/>
          <cell r="K55"/>
          <cell r="L55"/>
          <cell r="M55"/>
          <cell r="N55"/>
          <cell r="O55"/>
          <cell r="P55"/>
          <cell r="Q55"/>
          <cell r="R55"/>
          <cell r="S55"/>
          <cell r="T55"/>
          <cell r="U55"/>
          <cell r="V55"/>
          <cell r="W55"/>
          <cell r="X55"/>
          <cell r="Y55"/>
          <cell r="Z55"/>
          <cell r="AA55"/>
          <cell r="AB55"/>
          <cell r="AC55"/>
          <cell r="AD55"/>
          <cell r="AE55"/>
          <cell r="AF55"/>
          <cell r="AG55"/>
        </row>
        <row r="56">
          <cell r="A56" t="str">
            <v>Fiscal Year</v>
          </cell>
          <cell r="B56" t="str">
            <v>NETWORK</v>
          </cell>
          <cell r="C56"/>
          <cell r="D56"/>
          <cell r="E56"/>
          <cell r="F56" t="str">
            <v>SOUTHERN INTERTIE</v>
          </cell>
          <cell r="G56"/>
          <cell r="H56"/>
          <cell r="I56"/>
          <cell r="J56" t="str">
            <v>TOTAL INTANGIBLE PLANT</v>
          </cell>
          <cell r="K56"/>
          <cell r="L56"/>
          <cell r="M56"/>
        </row>
        <row r="57">
          <cell r="A57"/>
          <cell r="B57" t="str">
            <v>Prior Year Accum Depr</v>
          </cell>
          <cell r="C57" t="str">
            <v>Plant Invest</v>
          </cell>
          <cell r="D57" t="str">
            <v>Dep Exp</v>
          </cell>
          <cell r="E57" t="str">
            <v>Accum Depr</v>
          </cell>
          <cell r="F57" t="str">
            <v>Prior Year Accum Depr</v>
          </cell>
          <cell r="G57" t="str">
            <v>Plant Invest</v>
          </cell>
          <cell r="H57" t="str">
            <v>Dep Exp</v>
          </cell>
          <cell r="I57" t="str">
            <v>Accum Depr</v>
          </cell>
          <cell r="J57" t="str">
            <v>Prior Year Accum Depr</v>
          </cell>
          <cell r="K57" t="str">
            <v>Plant Invest</v>
          </cell>
          <cell r="L57" t="str">
            <v>Dep Exp</v>
          </cell>
          <cell r="M57" t="str">
            <v>Accum Depr</v>
          </cell>
        </row>
        <row r="58">
          <cell r="A58">
            <v>2020</v>
          </cell>
          <cell r="B58"/>
          <cell r="C58">
            <v>4085.4202300000002</v>
          </cell>
          <cell r="D58"/>
          <cell r="E58">
            <v>547.48162549574681</v>
          </cell>
          <cell r="F58"/>
          <cell r="G58">
            <v>5473.1186899999993</v>
          </cell>
          <cell r="H58"/>
          <cell r="I58">
            <v>733.44521450424998</v>
          </cell>
          <cell r="J58"/>
          <cell r="K58">
            <v>9558.5389199999991</v>
          </cell>
          <cell r="L58"/>
          <cell r="M58">
            <v>1280.9268399999969</v>
          </cell>
          <cell r="O58"/>
        </row>
        <row r="59">
          <cell r="A59">
            <v>2021</v>
          </cell>
          <cell r="B59">
            <v>547.48162549574681</v>
          </cell>
          <cell r="C59">
            <v>4085.4202300000002</v>
          </cell>
          <cell r="D59">
            <v>184</v>
          </cell>
          <cell r="E59">
            <v>731.48162549574681</v>
          </cell>
          <cell r="F59">
            <v>733.44521450424998</v>
          </cell>
          <cell r="G59">
            <v>5473.1186899999993</v>
          </cell>
          <cell r="H59">
            <v>247</v>
          </cell>
          <cell r="I59">
            <v>980.44521450424998</v>
          </cell>
          <cell r="J59">
            <v>1280.9268399999969</v>
          </cell>
          <cell r="K59">
            <v>9558.5389199999991</v>
          </cell>
          <cell r="L59">
            <v>431</v>
          </cell>
          <cell r="M59">
            <v>1711.9268399999969</v>
          </cell>
          <cell r="O59"/>
        </row>
        <row r="60">
          <cell r="A60">
            <v>2022</v>
          </cell>
          <cell r="B60">
            <v>731.48162549574681</v>
          </cell>
          <cell r="C60">
            <v>4085.4202300000002</v>
          </cell>
          <cell r="D60">
            <v>184</v>
          </cell>
          <cell r="E60">
            <v>915.48162549574681</v>
          </cell>
          <cell r="F60">
            <v>980.44521450424998</v>
          </cell>
          <cell r="G60">
            <v>5473.1186899999993</v>
          </cell>
          <cell r="H60">
            <v>247</v>
          </cell>
          <cell r="I60">
            <v>1227.4452145042501</v>
          </cell>
          <cell r="J60">
            <v>1711.9268399999969</v>
          </cell>
          <cell r="K60">
            <v>9558.5389199999991</v>
          </cell>
          <cell r="L60">
            <v>431</v>
          </cell>
          <cell r="M60">
            <v>2142.9268399999969</v>
          </cell>
          <cell r="O60"/>
        </row>
        <row r="61">
          <cell r="A61">
            <v>2023</v>
          </cell>
          <cell r="B61">
            <v>915.48162549574681</v>
          </cell>
          <cell r="C61">
            <v>4085.4202300000002</v>
          </cell>
          <cell r="D61">
            <v>184</v>
          </cell>
          <cell r="E61">
            <v>1099.4816254957468</v>
          </cell>
          <cell r="F61">
            <v>1227.4452145042501</v>
          </cell>
          <cell r="G61">
            <v>5473.1186899999993</v>
          </cell>
          <cell r="H61">
            <v>247</v>
          </cell>
          <cell r="I61">
            <v>1474.4452145042501</v>
          </cell>
          <cell r="J61">
            <v>2142.9268399999969</v>
          </cell>
          <cell r="K61">
            <v>9558.5389199999991</v>
          </cell>
          <cell r="L61">
            <v>431</v>
          </cell>
          <cell r="M61">
            <v>2573.9268399999969</v>
          </cell>
          <cell r="O61"/>
        </row>
        <row r="62">
          <cell r="A62">
            <v>2024</v>
          </cell>
          <cell r="B62">
            <v>1099.4816254957468</v>
          </cell>
          <cell r="C62">
            <v>4085.4202300000002</v>
          </cell>
          <cell r="D62">
            <v>184</v>
          </cell>
          <cell r="E62">
            <v>1283.4816254957468</v>
          </cell>
          <cell r="F62">
            <v>1474.4452145042501</v>
          </cell>
          <cell r="G62">
            <v>5473.1186899999993</v>
          </cell>
          <cell r="H62">
            <v>247</v>
          </cell>
          <cell r="I62">
            <v>1721.4452145042501</v>
          </cell>
          <cell r="J62">
            <v>2573.9268399999969</v>
          </cell>
          <cell r="K62">
            <v>9558.5389199999991</v>
          </cell>
          <cell r="L62">
            <v>431</v>
          </cell>
          <cell r="M62">
            <v>3004.9268399999969</v>
          </cell>
        </row>
        <row r="63">
          <cell r="A63">
            <v>2025</v>
          </cell>
          <cell r="B63">
            <v>1283.4816254957468</v>
          </cell>
          <cell r="C63">
            <v>4085.4202300000002</v>
          </cell>
          <cell r="D63">
            <v>184</v>
          </cell>
          <cell r="E63">
            <v>1467.4816254957468</v>
          </cell>
          <cell r="F63">
            <v>1721.4452145042501</v>
          </cell>
          <cell r="G63">
            <v>5473.1186899999993</v>
          </cell>
          <cell r="H63">
            <v>247</v>
          </cell>
          <cell r="I63">
            <v>1968.4452145042501</v>
          </cell>
          <cell r="J63">
            <v>3004.9268399999969</v>
          </cell>
          <cell r="K63">
            <v>9558.5389199999991</v>
          </cell>
          <cell r="L63">
            <v>431</v>
          </cell>
          <cell r="M63">
            <v>3435.9268399999969</v>
          </cell>
        </row>
        <row r="64">
          <cell r="A64">
            <v>2026</v>
          </cell>
          <cell r="B64">
            <v>1467.4816254957468</v>
          </cell>
          <cell r="C64">
            <v>4085.4202300000002</v>
          </cell>
          <cell r="D64">
            <v>184</v>
          </cell>
          <cell r="E64">
            <v>1651.4816254957468</v>
          </cell>
          <cell r="F64">
            <v>1968.4452145042501</v>
          </cell>
          <cell r="G64">
            <v>5473.1186899999993</v>
          </cell>
          <cell r="H64">
            <v>247</v>
          </cell>
          <cell r="I64">
            <v>2215.4452145042501</v>
          </cell>
          <cell r="J64">
            <v>3435.9268399999969</v>
          </cell>
          <cell r="K64">
            <v>9558.5389199999991</v>
          </cell>
          <cell r="L64">
            <v>431</v>
          </cell>
          <cell r="M64">
            <v>3866.9268399999969</v>
          </cell>
        </row>
        <row r="65">
          <cell r="A65">
            <v>2027</v>
          </cell>
          <cell r="B65">
            <v>1651.4816254957468</v>
          </cell>
          <cell r="C65">
            <v>4085.4202300000002</v>
          </cell>
          <cell r="D65">
            <v>184</v>
          </cell>
          <cell r="E65">
            <v>1835.4816254957468</v>
          </cell>
          <cell r="F65">
            <v>2215.4452145042501</v>
          </cell>
          <cell r="G65">
            <v>5473.1186899999993</v>
          </cell>
          <cell r="H65">
            <v>247</v>
          </cell>
          <cell r="I65">
            <v>2462.4452145042501</v>
          </cell>
          <cell r="J65">
            <v>3866.9268399999969</v>
          </cell>
          <cell r="K65">
            <v>9558.5389199999991</v>
          </cell>
          <cell r="L65">
            <v>431</v>
          </cell>
          <cell r="M65">
            <v>4297.9268399999964</v>
          </cell>
        </row>
        <row r="66">
          <cell r="A66">
            <v>2028</v>
          </cell>
          <cell r="B66">
            <v>1835.4816254957468</v>
          </cell>
          <cell r="C66">
            <v>4085.4202300000002</v>
          </cell>
          <cell r="D66">
            <v>184</v>
          </cell>
          <cell r="E66">
            <v>2019.4816254957468</v>
          </cell>
          <cell r="F66">
            <v>2462.4452145042501</v>
          </cell>
          <cell r="G66">
            <v>5473.1186899999993</v>
          </cell>
          <cell r="H66">
            <v>247</v>
          </cell>
          <cell r="I66">
            <v>2709.4452145042501</v>
          </cell>
          <cell r="J66">
            <v>4297.9268399999964</v>
          </cell>
          <cell r="K66">
            <v>9558.5389199999991</v>
          </cell>
          <cell r="L66">
            <v>431</v>
          </cell>
          <cell r="M66">
            <v>4728.9268399999964</v>
          </cell>
        </row>
        <row r="67">
          <cell r="A67">
            <v>2029</v>
          </cell>
          <cell r="B67">
            <v>2019.4816254957468</v>
          </cell>
          <cell r="C67">
            <v>4085.4202300000002</v>
          </cell>
          <cell r="D67">
            <v>184</v>
          </cell>
          <cell r="E67">
            <v>2203.4816254957468</v>
          </cell>
          <cell r="F67">
            <v>2709.4452145042501</v>
          </cell>
          <cell r="G67">
            <v>5473.1186899999993</v>
          </cell>
          <cell r="H67">
            <v>247</v>
          </cell>
          <cell r="I67">
            <v>2956.4452145042501</v>
          </cell>
          <cell r="J67">
            <v>4728.9268399999964</v>
          </cell>
          <cell r="K67">
            <v>9558.5389199999991</v>
          </cell>
          <cell r="L67">
            <v>431</v>
          </cell>
          <cell r="M67">
            <v>5159.9268399999964</v>
          </cell>
        </row>
        <row r="68">
          <cell r="A68">
            <v>2030</v>
          </cell>
          <cell r="B68">
            <v>2203.4816254957468</v>
          </cell>
          <cell r="C68">
            <v>4085.4202300000002</v>
          </cell>
          <cell r="D68">
            <v>184</v>
          </cell>
          <cell r="E68">
            <v>2387.4816254957468</v>
          </cell>
          <cell r="F68">
            <v>2956.4452145042501</v>
          </cell>
          <cell r="G68">
            <v>5473.1186899999993</v>
          </cell>
          <cell r="H68">
            <v>247</v>
          </cell>
          <cell r="I68">
            <v>3203.4452145042501</v>
          </cell>
          <cell r="J68">
            <v>5159.9268399999964</v>
          </cell>
          <cell r="K68">
            <v>9558.5389199999991</v>
          </cell>
          <cell r="L68">
            <v>431</v>
          </cell>
          <cell r="M68">
            <v>5590.9268399999964</v>
          </cell>
        </row>
        <row r="69">
          <cell r="A69">
            <v>2031</v>
          </cell>
          <cell r="B69">
            <v>2387.4816254957468</v>
          </cell>
          <cell r="C69">
            <v>4085.4202300000002</v>
          </cell>
          <cell r="D69">
            <v>184</v>
          </cell>
          <cell r="E69">
            <v>2571.4816254957468</v>
          </cell>
          <cell r="F69">
            <v>3203.4452145042501</v>
          </cell>
          <cell r="G69">
            <v>5473.1186899999993</v>
          </cell>
          <cell r="H69">
            <v>247</v>
          </cell>
          <cell r="I69">
            <v>3450.4452145042501</v>
          </cell>
          <cell r="J69">
            <v>5590.9268399999964</v>
          </cell>
          <cell r="K69">
            <v>9558.5389199999991</v>
          </cell>
          <cell r="L69">
            <v>431</v>
          </cell>
          <cell r="M69">
            <v>6021.9268399999964</v>
          </cell>
        </row>
        <row r="70">
          <cell r="A70">
            <v>2032</v>
          </cell>
          <cell r="B70">
            <v>2571.4816254957468</v>
          </cell>
          <cell r="C70">
            <v>4085.4202300000002</v>
          </cell>
          <cell r="D70">
            <v>184</v>
          </cell>
          <cell r="E70">
            <v>2755.4816254957468</v>
          </cell>
          <cell r="F70">
            <v>3450.4452145042501</v>
          </cell>
          <cell r="G70">
            <v>5473.1186899999993</v>
          </cell>
          <cell r="H70">
            <v>247</v>
          </cell>
          <cell r="I70">
            <v>3697.4452145042501</v>
          </cell>
          <cell r="J70">
            <v>6021.9268399999964</v>
          </cell>
          <cell r="K70">
            <v>9558.5389199999991</v>
          </cell>
          <cell r="L70">
            <v>431</v>
          </cell>
          <cell r="M70">
            <v>6452.9268399999964</v>
          </cell>
        </row>
        <row r="71">
          <cell r="A71">
            <v>2033</v>
          </cell>
          <cell r="B71">
            <v>2755.4816254957468</v>
          </cell>
          <cell r="C71">
            <v>4085.4202300000002</v>
          </cell>
          <cell r="D71">
            <v>184</v>
          </cell>
          <cell r="E71">
            <v>2939.4816254957468</v>
          </cell>
          <cell r="F71">
            <v>3697.4452145042501</v>
          </cell>
          <cell r="G71">
            <v>5473.1186899999993</v>
          </cell>
          <cell r="H71">
            <v>247</v>
          </cell>
          <cell r="I71">
            <v>3944.4452145042501</v>
          </cell>
          <cell r="J71">
            <v>6452.9268399999964</v>
          </cell>
          <cell r="K71">
            <v>9558.5389199999991</v>
          </cell>
          <cell r="L71">
            <v>431</v>
          </cell>
          <cell r="M71">
            <v>6883.9268399999964</v>
          </cell>
        </row>
        <row r="72">
          <cell r="A72">
            <v>2034</v>
          </cell>
          <cell r="B72">
            <v>2939.4816254957468</v>
          </cell>
          <cell r="C72">
            <v>4085.4202300000002</v>
          </cell>
          <cell r="D72">
            <v>184</v>
          </cell>
          <cell r="E72">
            <v>3123.4816254957468</v>
          </cell>
          <cell r="F72">
            <v>3944.4452145042501</v>
          </cell>
          <cell r="G72">
            <v>5473.1186899999993</v>
          </cell>
          <cell r="H72">
            <v>247</v>
          </cell>
          <cell r="I72">
            <v>4191.4452145042505</v>
          </cell>
          <cell r="J72">
            <v>6883.9268399999964</v>
          </cell>
          <cell r="K72">
            <v>9558.5389199999991</v>
          </cell>
          <cell r="L72">
            <v>431</v>
          </cell>
          <cell r="M72">
            <v>7314.9268399999964</v>
          </cell>
        </row>
        <row r="73">
          <cell r="A73">
            <v>2035</v>
          </cell>
          <cell r="B73">
            <v>3123.4816254957468</v>
          </cell>
          <cell r="C73">
            <v>4085.4202300000002</v>
          </cell>
          <cell r="D73">
            <v>184</v>
          </cell>
          <cell r="E73">
            <v>3307.4816254957468</v>
          </cell>
          <cell r="F73">
            <v>4191.4452145042505</v>
          </cell>
          <cell r="G73">
            <v>5473.1186899999993</v>
          </cell>
          <cell r="H73">
            <v>247</v>
          </cell>
          <cell r="I73">
            <v>4438.4452145042505</v>
          </cell>
          <cell r="J73">
            <v>7314.9268399999964</v>
          </cell>
          <cell r="K73">
            <v>9558.5389199999991</v>
          </cell>
          <cell r="L73">
            <v>431</v>
          </cell>
          <cell r="M73">
            <v>7745.9268399999964</v>
          </cell>
        </row>
        <row r="74">
          <cell r="A74">
            <v>2036</v>
          </cell>
          <cell r="B74">
            <v>3307.4816254957468</v>
          </cell>
          <cell r="C74">
            <v>4085.4202300000002</v>
          </cell>
          <cell r="D74">
            <v>184</v>
          </cell>
          <cell r="E74">
            <v>3491.4816254957468</v>
          </cell>
          <cell r="F74">
            <v>4438.4452145042505</v>
          </cell>
          <cell r="G74">
            <v>5473.1186899999993</v>
          </cell>
          <cell r="H74">
            <v>247</v>
          </cell>
          <cell r="I74">
            <v>4685.4452145042505</v>
          </cell>
          <cell r="J74">
            <v>7745.9268399999964</v>
          </cell>
          <cell r="K74">
            <v>9558.5389199999991</v>
          </cell>
          <cell r="L74">
            <v>431</v>
          </cell>
          <cell r="M74">
            <v>8176.9268399999964</v>
          </cell>
        </row>
        <row r="75">
          <cell r="A75"/>
          <cell r="B75"/>
          <cell r="C75"/>
          <cell r="D75"/>
          <cell r="E75"/>
          <cell r="F75"/>
          <cell r="G75"/>
          <cell r="H75"/>
          <cell r="I75"/>
          <cell r="J75"/>
          <cell r="K75"/>
          <cell r="L75"/>
          <cell r="M75"/>
        </row>
        <row r="76">
          <cell r="B76"/>
          <cell r="C76"/>
          <cell r="D76"/>
          <cell r="E76"/>
          <cell r="F76"/>
          <cell r="G76"/>
          <cell r="H76"/>
          <cell r="I76"/>
          <cell r="J76"/>
          <cell r="K76"/>
          <cell r="L76"/>
          <cell r="M76"/>
        </row>
        <row r="77">
          <cell r="B77"/>
          <cell r="C77"/>
          <cell r="D77"/>
          <cell r="E77"/>
          <cell r="F77"/>
          <cell r="G77"/>
          <cell r="H77"/>
          <cell r="I77"/>
          <cell r="J77"/>
          <cell r="K77"/>
          <cell r="L77"/>
          <cell r="M77"/>
        </row>
        <row r="78">
          <cell r="B78"/>
          <cell r="C78"/>
          <cell r="D78"/>
          <cell r="E78"/>
          <cell r="F78"/>
          <cell r="G78"/>
          <cell r="H78"/>
          <cell r="I78"/>
          <cell r="J78"/>
          <cell r="K78"/>
          <cell r="L78"/>
          <cell r="M78"/>
        </row>
        <row r="79">
          <cell r="B79"/>
          <cell r="C79"/>
          <cell r="D79"/>
          <cell r="E79"/>
          <cell r="F79"/>
          <cell r="G79"/>
          <cell r="H79"/>
          <cell r="I79"/>
          <cell r="J79"/>
          <cell r="K79"/>
          <cell r="L79"/>
          <cell r="M79"/>
        </row>
        <row r="80">
          <cell r="B80"/>
          <cell r="C80"/>
          <cell r="D80"/>
          <cell r="E80"/>
          <cell r="F80"/>
          <cell r="G80"/>
          <cell r="H80"/>
          <cell r="I80"/>
          <cell r="J80"/>
          <cell r="K80"/>
          <cell r="L80"/>
          <cell r="M80"/>
        </row>
        <row r="81">
          <cell r="B81"/>
          <cell r="C81"/>
          <cell r="D81"/>
          <cell r="E81"/>
          <cell r="F81"/>
          <cell r="G81"/>
          <cell r="H81"/>
          <cell r="I81"/>
          <cell r="J81"/>
          <cell r="K81"/>
          <cell r="L81"/>
          <cell r="M81"/>
        </row>
        <row r="82">
          <cell r="B82"/>
          <cell r="C82"/>
          <cell r="D82"/>
          <cell r="E82"/>
          <cell r="F82"/>
          <cell r="G82"/>
          <cell r="H82"/>
          <cell r="I82"/>
          <cell r="J82"/>
          <cell r="K82"/>
          <cell r="L82"/>
          <cell r="M82"/>
        </row>
        <row r="83">
          <cell r="B83"/>
          <cell r="C83"/>
          <cell r="D83"/>
          <cell r="E83"/>
          <cell r="F83"/>
          <cell r="G83"/>
          <cell r="H83"/>
          <cell r="I83"/>
          <cell r="J83"/>
          <cell r="K83"/>
          <cell r="L83"/>
          <cell r="M83"/>
        </row>
      </sheetData>
      <sheetData sheetId="8">
        <row r="16">
          <cell r="A16">
            <v>2020</v>
          </cell>
          <cell r="B16">
            <v>0</v>
          </cell>
          <cell r="C16">
            <v>0</v>
          </cell>
          <cell r="D16">
            <v>0</v>
          </cell>
          <cell r="E16">
            <v>0</v>
          </cell>
          <cell r="F16">
            <v>0</v>
          </cell>
          <cell r="G16">
            <v>0</v>
          </cell>
          <cell r="H16">
            <v>28250.764196</v>
          </cell>
          <cell r="I16">
            <v>28250.764196</v>
          </cell>
          <cell r="J16">
            <v>0</v>
          </cell>
          <cell r="K16">
            <v>2803.5460882415555</v>
          </cell>
          <cell r="L16">
            <v>31054.310284241554</v>
          </cell>
          <cell r="M16"/>
        </row>
        <row r="17">
          <cell r="A17">
            <v>2021</v>
          </cell>
          <cell r="B17">
            <v>110826</v>
          </cell>
          <cell r="C17">
            <v>109898</v>
          </cell>
          <cell r="D17">
            <v>2492</v>
          </cell>
          <cell r="E17">
            <v>76266.376369405814</v>
          </cell>
          <cell r="F17">
            <v>15551.586229594199</v>
          </cell>
          <cell r="G17">
            <v>431</v>
          </cell>
          <cell r="H17">
            <v>28269.284196000001</v>
          </cell>
          <cell r="I17">
            <v>341242.24679500004</v>
          </cell>
          <cell r="J17">
            <v>4278</v>
          </cell>
          <cell r="K17">
            <v>2803.5460882415555</v>
          </cell>
          <cell r="L17">
            <v>348323.79288324161</v>
          </cell>
          <cell r="M17"/>
        </row>
        <row r="18">
          <cell r="A18">
            <v>2022</v>
          </cell>
          <cell r="B18">
            <v>113491</v>
          </cell>
          <cell r="C18">
            <v>113855</v>
          </cell>
          <cell r="D18">
            <v>3899</v>
          </cell>
          <cell r="E18">
            <v>76836.326117504796</v>
          </cell>
          <cell r="F18">
            <v>12420.309689900954</v>
          </cell>
          <cell r="G18">
            <v>431</v>
          </cell>
          <cell r="H18">
            <v>28269.284196000001</v>
          </cell>
          <cell r="I18">
            <v>345302.92000340577</v>
          </cell>
          <cell r="J18">
            <v>4278</v>
          </cell>
          <cell r="K18">
            <v>2803.5460882415555</v>
          </cell>
          <cell r="L18">
            <v>352384.46609164734</v>
          </cell>
          <cell r="M18"/>
        </row>
        <row r="19">
          <cell r="A19">
            <v>2023</v>
          </cell>
          <cell r="B19">
            <v>116736</v>
          </cell>
          <cell r="C19">
            <v>118573</v>
          </cell>
          <cell r="D19">
            <v>5510</v>
          </cell>
          <cell r="E19">
            <v>75165.97983262378</v>
          </cell>
          <cell r="F19">
            <v>10816</v>
          </cell>
          <cell r="G19">
            <v>431</v>
          </cell>
          <cell r="H19">
            <v>28269.284196000001</v>
          </cell>
          <cell r="I19">
            <v>349991.26402862382</v>
          </cell>
          <cell r="J19">
            <v>4278</v>
          </cell>
          <cell r="K19">
            <v>2803.5460882415555</v>
          </cell>
          <cell r="L19">
            <v>357072.81011686538</v>
          </cell>
          <cell r="M19"/>
        </row>
        <row r="20">
          <cell r="A20">
            <v>2024</v>
          </cell>
          <cell r="B20">
            <v>120089</v>
          </cell>
          <cell r="C20">
            <v>123884</v>
          </cell>
          <cell r="D20">
            <v>7059</v>
          </cell>
          <cell r="E20">
            <v>77574</v>
          </cell>
          <cell r="F20">
            <v>12682</v>
          </cell>
          <cell r="G20">
            <v>431</v>
          </cell>
          <cell r="H20">
            <v>28269.284196000001</v>
          </cell>
          <cell r="I20">
            <v>362929.28419600002</v>
          </cell>
          <cell r="J20">
            <v>4278</v>
          </cell>
          <cell r="K20">
            <v>2803.5460882415555</v>
          </cell>
          <cell r="L20">
            <v>370010.83028424159</v>
          </cell>
          <cell r="M20"/>
        </row>
        <row r="21">
          <cell r="A21">
            <v>2025</v>
          </cell>
          <cell r="B21">
            <v>124313</v>
          </cell>
          <cell r="C21">
            <v>129964</v>
          </cell>
          <cell r="D21">
            <v>8376</v>
          </cell>
          <cell r="E21">
            <v>83723</v>
          </cell>
          <cell r="F21">
            <v>14284</v>
          </cell>
          <cell r="G21">
            <v>431</v>
          </cell>
          <cell r="H21">
            <v>2266.6158260000002</v>
          </cell>
          <cell r="I21">
            <v>354981.61582599999</v>
          </cell>
          <cell r="J21">
            <v>4278</v>
          </cell>
          <cell r="K21">
            <v>2803.5460882415555</v>
          </cell>
          <cell r="L21">
            <v>362063.16191424156</v>
          </cell>
          <cell r="M21"/>
        </row>
        <row r="22">
          <cell r="A22">
            <v>2026</v>
          </cell>
          <cell r="B22">
            <v>128931</v>
          </cell>
          <cell r="C22">
            <v>136455</v>
          </cell>
          <cell r="D22">
            <v>9553</v>
          </cell>
          <cell r="E22">
            <v>89960</v>
          </cell>
          <cell r="F22">
            <v>15696</v>
          </cell>
          <cell r="G22">
            <v>431</v>
          </cell>
          <cell r="H22">
            <v>2266.6158260000002</v>
          </cell>
          <cell r="I22">
            <v>373739.61582599999</v>
          </cell>
          <cell r="J22">
            <v>4278</v>
          </cell>
          <cell r="K22">
            <v>2803.5460882415555</v>
          </cell>
          <cell r="L22">
            <v>380821.16191424156</v>
          </cell>
          <cell r="M22"/>
        </row>
        <row r="23">
          <cell r="A23">
            <v>2027</v>
          </cell>
          <cell r="B23">
            <v>132968</v>
          </cell>
          <cell r="C23">
            <v>142139</v>
          </cell>
          <cell r="D23">
            <v>10879</v>
          </cell>
          <cell r="E23">
            <v>95509.5432</v>
          </cell>
          <cell r="F23">
            <v>17260</v>
          </cell>
          <cell r="G23">
            <v>431</v>
          </cell>
          <cell r="H23">
            <v>2266.6158260000002</v>
          </cell>
          <cell r="I23">
            <v>390574.15902600001</v>
          </cell>
          <cell r="J23">
            <v>4278</v>
          </cell>
          <cell r="K23">
            <v>2803.5460882415555</v>
          </cell>
          <cell r="L23">
            <v>397655.70511424157</v>
          </cell>
          <cell r="M23"/>
        </row>
        <row r="24">
          <cell r="A24">
            <v>2028</v>
          </cell>
          <cell r="B24">
            <v>136358</v>
          </cell>
          <cell r="C24">
            <v>146826</v>
          </cell>
          <cell r="D24">
            <v>12182</v>
          </cell>
          <cell r="E24">
            <v>98267.646486500002</v>
          </cell>
          <cell r="F24">
            <v>18774</v>
          </cell>
          <cell r="G24">
            <v>431</v>
          </cell>
          <cell r="H24">
            <v>2266.6158260000002</v>
          </cell>
          <cell r="I24">
            <v>402923.26231249998</v>
          </cell>
          <cell r="J24">
            <v>4278</v>
          </cell>
          <cell r="K24">
            <v>2803.5460882415555</v>
          </cell>
          <cell r="L24">
            <v>410004.80840074155</v>
          </cell>
          <cell r="M24"/>
        </row>
        <row r="25">
          <cell r="A25">
            <v>2029</v>
          </cell>
          <cell r="B25">
            <v>139413</v>
          </cell>
          <cell r="C25">
            <v>151200</v>
          </cell>
          <cell r="D25">
            <v>13464</v>
          </cell>
          <cell r="E25">
            <v>101368</v>
          </cell>
          <cell r="F25">
            <v>20244</v>
          </cell>
          <cell r="G25">
            <v>431</v>
          </cell>
          <cell r="H25">
            <v>2266.6158260000002</v>
          </cell>
          <cell r="I25">
            <v>414922.61582599999</v>
          </cell>
          <cell r="J25">
            <v>4278</v>
          </cell>
          <cell r="K25">
            <v>2803.5460882415555</v>
          </cell>
          <cell r="L25">
            <v>422004.16191424156</v>
          </cell>
          <cell r="M25"/>
        </row>
        <row r="26">
          <cell r="A26">
            <v>2030</v>
          </cell>
          <cell r="B26">
            <v>142425</v>
          </cell>
          <cell r="C26">
            <v>155704</v>
          </cell>
          <cell r="D26">
            <v>14750</v>
          </cell>
          <cell r="E26">
            <v>103680.8017129479</v>
          </cell>
          <cell r="F26">
            <v>21722</v>
          </cell>
          <cell r="G26">
            <v>431</v>
          </cell>
          <cell r="H26">
            <v>2266.6158260000002</v>
          </cell>
          <cell r="I26">
            <v>426229.41753894789</v>
          </cell>
          <cell r="J26">
            <v>4278</v>
          </cell>
          <cell r="K26">
            <v>86.103604922300136</v>
          </cell>
          <cell r="L26">
            <v>430593.5211438702</v>
          </cell>
          <cell r="M26"/>
        </row>
        <row r="27">
          <cell r="A27">
            <v>2031</v>
          </cell>
          <cell r="B27">
            <v>145509</v>
          </cell>
          <cell r="C27">
            <v>160746</v>
          </cell>
          <cell r="D27">
            <v>16057</v>
          </cell>
          <cell r="E27">
            <v>107191</v>
          </cell>
          <cell r="F27">
            <v>23252</v>
          </cell>
          <cell r="G27">
            <v>431</v>
          </cell>
          <cell r="H27">
            <v>2266.6158260000002</v>
          </cell>
          <cell r="I27">
            <v>439395.61582599999</v>
          </cell>
          <cell r="J27">
            <v>4278</v>
          </cell>
          <cell r="K27">
            <v>8.5480224375000002</v>
          </cell>
          <cell r="L27">
            <v>443682.16384843749</v>
          </cell>
          <cell r="M27"/>
        </row>
        <row r="28">
          <cell r="A28">
            <v>2032</v>
          </cell>
          <cell r="B28">
            <v>148686</v>
          </cell>
          <cell r="C28">
            <v>166306</v>
          </cell>
          <cell r="D28">
            <v>17336</v>
          </cell>
          <cell r="E28">
            <v>112510</v>
          </cell>
          <cell r="F28">
            <v>24752</v>
          </cell>
          <cell r="G28">
            <v>431</v>
          </cell>
          <cell r="H28">
            <v>2266.6158260000002</v>
          </cell>
          <cell r="I28">
            <v>454951.61582599999</v>
          </cell>
          <cell r="J28">
            <v>4278</v>
          </cell>
          <cell r="K28">
            <v>8.5480224375000002</v>
          </cell>
          <cell r="L28">
            <v>459238.16384843749</v>
          </cell>
          <cell r="M28"/>
        </row>
        <row r="29">
          <cell r="A29">
            <v>2033</v>
          </cell>
          <cell r="B29">
            <v>151850</v>
          </cell>
          <cell r="C29">
            <v>171859</v>
          </cell>
          <cell r="D29">
            <v>18608</v>
          </cell>
          <cell r="E29">
            <v>117716</v>
          </cell>
          <cell r="F29">
            <v>26233</v>
          </cell>
          <cell r="G29">
            <v>431</v>
          </cell>
          <cell r="H29">
            <v>2266.6158260000002</v>
          </cell>
          <cell r="I29">
            <v>470355.61582599999</v>
          </cell>
          <cell r="J29">
            <v>4278</v>
          </cell>
          <cell r="K29">
            <v>8.5480224375000002</v>
          </cell>
          <cell r="L29">
            <v>474642.16384843749</v>
          </cell>
          <cell r="M29"/>
        </row>
        <row r="30">
          <cell r="A30">
            <v>2034</v>
          </cell>
          <cell r="B30">
            <v>155039</v>
          </cell>
          <cell r="C30">
            <v>177397</v>
          </cell>
          <cell r="D30">
            <v>19885</v>
          </cell>
          <cell r="E30">
            <v>122277.65943914014</v>
          </cell>
          <cell r="F30">
            <v>27728</v>
          </cell>
          <cell r="G30">
            <v>431</v>
          </cell>
          <cell r="H30">
            <v>2266.6158260000002</v>
          </cell>
          <cell r="I30">
            <v>485139.27526514011</v>
          </cell>
          <cell r="J30">
            <v>4278</v>
          </cell>
          <cell r="K30">
            <v>8.5480224375000002</v>
          </cell>
          <cell r="L30">
            <v>489425.8232875776</v>
          </cell>
          <cell r="M30"/>
        </row>
        <row r="31">
          <cell r="A31">
            <v>2035</v>
          </cell>
          <cell r="B31">
            <v>156738</v>
          </cell>
          <cell r="C31">
            <v>180267</v>
          </cell>
          <cell r="D31" t="e">
            <v>#N/A</v>
          </cell>
          <cell r="E31" t="e">
            <v>#N/A</v>
          </cell>
          <cell r="F31" t="e">
            <v>#N/A</v>
          </cell>
          <cell r="G31">
            <v>431</v>
          </cell>
          <cell r="H31">
            <v>2266.6158260000002</v>
          </cell>
          <cell r="I31" t="e">
            <v>#N/A</v>
          </cell>
          <cell r="J31">
            <v>4278</v>
          </cell>
          <cell r="K31">
            <v>8.5480224375000002</v>
          </cell>
          <cell r="L31" t="e">
            <v>#N/A</v>
          </cell>
          <cell r="M31"/>
        </row>
        <row r="33">
          <cell r="I33"/>
        </row>
        <row r="34">
          <cell r="I34"/>
        </row>
      </sheetData>
      <sheetData sheetId="9"/>
      <sheetData sheetId="10"/>
      <sheetData sheetId="11"/>
      <sheetData sheetId="12">
        <row r="12">
          <cell r="A12"/>
          <cell r="B12" t="str">
            <v>ACTUALS</v>
          </cell>
          <cell r="C12"/>
          <cell r="D12"/>
          <cell r="E12" t="str">
            <v>GENERATION INTEGRATION</v>
          </cell>
          <cell r="F12" t="str">
            <v>NETWORK</v>
          </cell>
          <cell r="G12" t="str">
            <v>SOUTHERN INTERTIE</v>
          </cell>
          <cell r="H12" t="str">
            <v>EASTERN INTERTIE</v>
          </cell>
          <cell r="I12" t="str">
            <v>UTILITY DELIVERY</v>
          </cell>
          <cell r="J12" t="str">
            <v>DSI DELIVERY</v>
          </cell>
          <cell r="K12" t="str">
            <v>ANCILLARY SERVICES</v>
          </cell>
          <cell r="L12" t="str">
            <v>TOTAL</v>
          </cell>
          <cell r="M12"/>
          <cell r="N12"/>
          <cell r="O12"/>
          <cell r="P12"/>
          <cell r="Q12"/>
          <cell r="R12"/>
          <cell r="S12"/>
          <cell r="T12"/>
          <cell r="U12"/>
          <cell r="V12"/>
          <cell r="W12"/>
          <cell r="X12"/>
          <cell r="Y12"/>
          <cell r="Z12"/>
        </row>
        <row r="13">
          <cell r="A13"/>
          <cell r="B13">
            <v>2020</v>
          </cell>
          <cell r="C13"/>
          <cell r="D13"/>
          <cell r="E13"/>
          <cell r="F13"/>
          <cell r="G13"/>
          <cell r="H13"/>
          <cell r="I13"/>
          <cell r="J13"/>
          <cell r="K13"/>
          <cell r="L13"/>
          <cell r="M13"/>
          <cell r="N13"/>
          <cell r="O13"/>
          <cell r="P13"/>
          <cell r="Q13"/>
          <cell r="R13"/>
          <cell r="S13"/>
          <cell r="T13"/>
          <cell r="U13"/>
          <cell r="V13"/>
          <cell r="W13"/>
          <cell r="X13"/>
          <cell r="Y13"/>
          <cell r="Z13"/>
        </row>
        <row r="14">
          <cell r="A14"/>
          <cell r="B14" t="str">
            <v>NET TRANSMISSION PLANT</v>
          </cell>
          <cell r="C14"/>
          <cell r="D14"/>
          <cell r="E14">
            <v>99150.494407769249</v>
          </cell>
          <cell r="F14">
            <v>4913122.9573199376</v>
          </cell>
          <cell r="G14">
            <v>782596.03299930401</v>
          </cell>
          <cell r="H14">
            <v>80947.917018195469</v>
          </cell>
          <cell r="I14">
            <v>13717.692920878904</v>
          </cell>
          <cell r="J14">
            <v>5910.2672906089911</v>
          </cell>
          <cell r="K14">
            <v>115384.92102371194</v>
          </cell>
          <cell r="L14">
            <v>6010830.2829804057</v>
          </cell>
          <cell r="M14"/>
          <cell r="N14"/>
          <cell r="O14"/>
          <cell r="P14"/>
          <cell r="Q14"/>
          <cell r="R14"/>
          <cell r="S14"/>
          <cell r="T14"/>
          <cell r="U14"/>
          <cell r="V14"/>
          <cell r="W14"/>
          <cell r="X14"/>
          <cell r="Y14"/>
          <cell r="Z14"/>
        </row>
        <row r="15">
          <cell r="A15"/>
          <cell r="B15" t="str">
            <v>INTANGIBLE PLANT</v>
          </cell>
          <cell r="C15"/>
          <cell r="D15"/>
          <cell r="E15"/>
          <cell r="F15">
            <v>3537.9386045042534</v>
          </cell>
          <cell r="G15">
            <v>4739.6734754957497</v>
          </cell>
          <cell r="H15"/>
          <cell r="I15"/>
          <cell r="J15"/>
          <cell r="K15"/>
          <cell r="L15">
            <v>8277.6120800000026</v>
          </cell>
          <cell r="M15"/>
          <cell r="N15"/>
          <cell r="O15"/>
          <cell r="P15"/>
          <cell r="Q15"/>
          <cell r="R15"/>
          <cell r="S15"/>
          <cell r="T15"/>
          <cell r="U15"/>
          <cell r="V15"/>
          <cell r="W15"/>
          <cell r="X15"/>
          <cell r="Y15"/>
          <cell r="Z15"/>
        </row>
        <row r="16">
          <cell r="A16"/>
          <cell r="B16" t="str">
            <v>REGULATORY ASSET</v>
          </cell>
          <cell r="C16"/>
          <cell r="D16"/>
          <cell r="E16"/>
          <cell r="F16">
            <v>146341.05103183334</v>
          </cell>
          <cell r="G16"/>
          <cell r="H16"/>
          <cell r="I16"/>
          <cell r="J16"/>
          <cell r="K16"/>
          <cell r="L16">
            <v>146341.05103183334</v>
          </cell>
          <cell r="M16"/>
          <cell r="N16"/>
          <cell r="O16"/>
          <cell r="P16"/>
          <cell r="Q16"/>
          <cell r="R16"/>
          <cell r="S16"/>
          <cell r="T16"/>
          <cell r="U16"/>
          <cell r="V16"/>
          <cell r="W16"/>
          <cell r="X16"/>
          <cell r="Y16"/>
          <cell r="Z16"/>
        </row>
        <row r="17">
          <cell r="A17"/>
          <cell r="B17" t="str">
            <v>SUBTOTAL INVESTMENT</v>
          </cell>
          <cell r="C17"/>
          <cell r="D17"/>
          <cell r="E17">
            <v>99150.494407769249</v>
          </cell>
          <cell r="F17">
            <v>5063001.946956275</v>
          </cell>
          <cell r="G17">
            <v>787335.70647479978</v>
          </cell>
          <cell r="H17">
            <v>80947.917018195469</v>
          </cell>
          <cell r="I17">
            <v>13717.692920878904</v>
          </cell>
          <cell r="J17">
            <v>5910.2672906089911</v>
          </cell>
          <cell r="K17">
            <v>115384.92102371194</v>
          </cell>
          <cell r="L17">
            <v>6165448.9460922396</v>
          </cell>
          <cell r="M17"/>
          <cell r="N17"/>
          <cell r="O17"/>
          <cell r="P17"/>
          <cell r="Q17"/>
          <cell r="R17"/>
          <cell r="S17"/>
          <cell r="T17"/>
          <cell r="U17"/>
          <cell r="V17"/>
          <cell r="W17"/>
          <cell r="X17"/>
          <cell r="Y17"/>
          <cell r="Z17"/>
        </row>
        <row r="18">
          <cell r="A18"/>
          <cell r="B18" t="str">
            <v>PERCENT</v>
          </cell>
          <cell r="C18"/>
          <cell r="D18"/>
          <cell r="E18">
            <v>1.6081634163982887E-2</v>
          </cell>
          <cell r="F18">
            <v>0.82118950156343229</v>
          </cell>
          <cell r="G18">
            <v>0.12770127745098364</v>
          </cell>
          <cell r="H18">
            <v>1.3129281861866939E-2</v>
          </cell>
          <cell r="I18">
            <v>2.2249300968704634E-3</v>
          </cell>
          <cell r="J18">
            <v>9.5861101799488797E-4</v>
          </cell>
          <cell r="K18">
            <v>1.8714763844868872E-2</v>
          </cell>
          <cell r="L18">
            <v>0.99999999999999989</v>
          </cell>
          <cell r="M18"/>
          <cell r="N18"/>
          <cell r="O18"/>
          <cell r="P18"/>
          <cell r="Q18"/>
          <cell r="R18"/>
          <cell r="S18"/>
          <cell r="T18"/>
          <cell r="U18"/>
          <cell r="V18"/>
          <cell r="W18"/>
          <cell r="X18"/>
          <cell r="Y18"/>
          <cell r="Z18"/>
        </row>
        <row r="19">
          <cell r="A19"/>
          <cell r="B19" t="str">
            <v>GENERAL PLANT</v>
          </cell>
          <cell r="C19"/>
          <cell r="D19"/>
          <cell r="E19">
            <v>12771.589483703621</v>
          </cell>
          <cell r="F19">
            <v>652166.01095083286</v>
          </cell>
          <cell r="G19">
            <v>101416.8258970374</v>
          </cell>
          <cell r="H19">
            <v>10426.912865058688</v>
          </cell>
          <cell r="I19">
            <v>1766.9780034424573</v>
          </cell>
          <cell r="J19">
            <v>761.30238205554065</v>
          </cell>
          <cell r="K19">
            <v>14862.748317359272</v>
          </cell>
          <cell r="L19">
            <v>794172.36789948982</v>
          </cell>
          <cell r="M19"/>
          <cell r="N19"/>
          <cell r="O19"/>
          <cell r="P19"/>
          <cell r="Q19"/>
          <cell r="R19"/>
          <cell r="S19"/>
          <cell r="T19"/>
          <cell r="U19"/>
          <cell r="V19"/>
          <cell r="W19"/>
          <cell r="X19"/>
          <cell r="Y19"/>
          <cell r="Z19"/>
        </row>
        <row r="20">
          <cell r="A20"/>
          <cell r="B20" t="str">
            <v>CUSTOMER FUNDED  PROJECTS (NET PLANT)</v>
          </cell>
          <cell r="C20"/>
          <cell r="D20"/>
          <cell r="E20"/>
          <cell r="F20">
            <v>-351688.61550506839</v>
          </cell>
          <cell r="G20">
            <v>-9836.7337800000005</v>
          </cell>
          <cell r="H20"/>
          <cell r="I20"/>
          <cell r="J20"/>
          <cell r="K20"/>
          <cell r="L20">
            <v>-361525.3492850684</v>
          </cell>
          <cell r="M20"/>
          <cell r="N20"/>
          <cell r="O20"/>
          <cell r="P20"/>
          <cell r="Q20"/>
          <cell r="R20"/>
          <cell r="S20"/>
          <cell r="T20"/>
          <cell r="U20"/>
          <cell r="V20"/>
          <cell r="W20"/>
          <cell r="X20"/>
          <cell r="Y20"/>
          <cell r="Z20"/>
        </row>
        <row r="21">
          <cell r="A21"/>
          <cell r="B21" t="str">
            <v>ACC REV BAL ADJ - FIBER</v>
          </cell>
          <cell r="C21"/>
          <cell r="D21"/>
          <cell r="E21">
            <v>-89.108334902629181</v>
          </cell>
          <cell r="F21">
            <v>-4550.2110281629784</v>
          </cell>
          <cell r="G21">
            <v>-707.59277835590035</v>
          </cell>
          <cell r="H21">
            <v>-72.749350796604702</v>
          </cell>
          <cell r="I21">
            <v>-12.328337666759237</v>
          </cell>
          <cell r="J21">
            <v>-5.3116636507096739</v>
          </cell>
          <cell r="K21">
            <v>-103.69850646441841</v>
          </cell>
          <cell r="L21">
            <v>-5541</v>
          </cell>
          <cell r="M21"/>
          <cell r="N21"/>
          <cell r="O21"/>
          <cell r="P21"/>
          <cell r="Q21"/>
          <cell r="R21"/>
          <cell r="S21"/>
          <cell r="T21"/>
          <cell r="U21"/>
          <cell r="V21"/>
          <cell r="W21"/>
          <cell r="X21"/>
          <cell r="Y21"/>
          <cell r="Z21"/>
        </row>
        <row r="22">
          <cell r="A22"/>
          <cell r="B22" t="str">
            <v>ACC REV BAL ADJ - 3AC</v>
          </cell>
          <cell r="C22"/>
          <cell r="D22"/>
          <cell r="E22"/>
          <cell r="F22"/>
          <cell r="G22">
            <v>-94390</v>
          </cell>
          <cell r="H22"/>
          <cell r="I22"/>
          <cell r="J22"/>
          <cell r="K22"/>
          <cell r="L22">
            <v>-94390</v>
          </cell>
          <cell r="M22"/>
          <cell r="N22"/>
          <cell r="O22"/>
          <cell r="P22"/>
          <cell r="Q22"/>
          <cell r="R22"/>
          <cell r="S22"/>
          <cell r="T22"/>
          <cell r="U22"/>
          <cell r="V22"/>
          <cell r="W22"/>
          <cell r="X22"/>
          <cell r="Y22"/>
          <cell r="Z22"/>
        </row>
        <row r="23">
          <cell r="A23"/>
          <cell r="B23" t="str">
            <v>INVESTMENT BASE</v>
          </cell>
          <cell r="C23"/>
          <cell r="D23"/>
          <cell r="E23">
            <v>111832.97555657024</v>
          </cell>
          <cell r="F23">
            <v>5358929.1313738758</v>
          </cell>
          <cell r="G23">
            <v>783818.20581348124</v>
          </cell>
          <cell r="H23">
            <v>91302.080532457563</v>
          </cell>
          <cell r="I23">
            <v>15472.342586654602</v>
          </cell>
          <cell r="J23">
            <v>6666.2580090138226</v>
          </cell>
          <cell r="K23">
            <v>130143.97083460679</v>
          </cell>
          <cell r="L23">
            <v>6498164.9647066593</v>
          </cell>
          <cell r="M23"/>
          <cell r="N23"/>
          <cell r="O23"/>
          <cell r="P23"/>
          <cell r="Q23"/>
          <cell r="R23"/>
          <cell r="S23"/>
          <cell r="T23"/>
          <cell r="U23"/>
          <cell r="V23"/>
          <cell r="W23"/>
          <cell r="X23"/>
          <cell r="Y23"/>
          <cell r="Z23"/>
        </row>
        <row r="24">
          <cell r="A24"/>
          <cell r="B24"/>
          <cell r="C24"/>
          <cell r="D24"/>
          <cell r="E24"/>
          <cell r="F24"/>
          <cell r="G24"/>
          <cell r="H24"/>
          <cell r="I24"/>
          <cell r="J24"/>
          <cell r="K24"/>
          <cell r="L24"/>
          <cell r="M24"/>
          <cell r="N24"/>
          <cell r="O24"/>
          <cell r="P24"/>
          <cell r="Q24"/>
          <cell r="R24"/>
          <cell r="S24"/>
          <cell r="T24"/>
          <cell r="U24"/>
          <cell r="V24"/>
          <cell r="W24"/>
          <cell r="X24"/>
          <cell r="Y24"/>
          <cell r="Z24"/>
        </row>
        <row r="25">
          <cell r="A25"/>
          <cell r="B25"/>
          <cell r="C25"/>
          <cell r="D25"/>
          <cell r="E25" t="str">
            <v>GENERATION INTEGRATION</v>
          </cell>
          <cell r="F25" t="str">
            <v>NETWORK</v>
          </cell>
          <cell r="G25" t="str">
            <v>SOUTHERN INTERTIE</v>
          </cell>
          <cell r="H25" t="str">
            <v>EASTERN INTERTIE</v>
          </cell>
          <cell r="I25" t="str">
            <v>UTILITY DELIVERY</v>
          </cell>
          <cell r="J25" t="str">
            <v>DSI DELIVERY</v>
          </cell>
          <cell r="K25" t="str">
            <v>ANCILLARY SERVICES</v>
          </cell>
          <cell r="L25" t="str">
            <v>TOTAL</v>
          </cell>
          <cell r="M25"/>
          <cell r="N25"/>
          <cell r="O25"/>
          <cell r="P25"/>
          <cell r="Q25"/>
          <cell r="R25"/>
          <cell r="S25"/>
          <cell r="T25"/>
          <cell r="U25"/>
          <cell r="V25"/>
          <cell r="W25"/>
          <cell r="X25"/>
          <cell r="Y25"/>
          <cell r="Z25"/>
        </row>
        <row r="26">
          <cell r="A26"/>
          <cell r="B26">
            <v>2021</v>
          </cell>
          <cell r="C26"/>
          <cell r="D26"/>
          <cell r="E26"/>
          <cell r="F26"/>
          <cell r="G26"/>
          <cell r="H26"/>
          <cell r="I26"/>
          <cell r="J26"/>
          <cell r="K26"/>
          <cell r="L26"/>
          <cell r="M26"/>
          <cell r="N26"/>
          <cell r="O26"/>
          <cell r="P26"/>
          <cell r="Q26"/>
          <cell r="R26"/>
          <cell r="S26"/>
          <cell r="T26"/>
          <cell r="U26"/>
          <cell r="V26"/>
          <cell r="W26"/>
          <cell r="X26"/>
          <cell r="Y26"/>
          <cell r="Z26"/>
        </row>
        <row r="27">
          <cell r="A27"/>
          <cell r="B27" t="str">
            <v>NET TRANSMISSION PLANT</v>
          </cell>
          <cell r="C27"/>
          <cell r="D27"/>
          <cell r="E27">
            <v>97454.494407769234</v>
          </cell>
          <cell r="F27">
            <v>4935763.6195725221</v>
          </cell>
          <cell r="G27">
            <v>768952.03299930401</v>
          </cell>
          <cell r="H27">
            <v>79281.917018195469</v>
          </cell>
          <cell r="I27">
            <v>13499.192920878904</v>
          </cell>
          <cell r="J27">
            <v>5816.7672906089911</v>
          </cell>
          <cell r="K27">
            <v>132011.38355250045</v>
          </cell>
          <cell r="L27">
            <v>6032779.4077617787</v>
          </cell>
          <cell r="M27"/>
          <cell r="N27"/>
          <cell r="O27"/>
          <cell r="P27"/>
          <cell r="Q27"/>
          <cell r="R27"/>
          <cell r="S27"/>
          <cell r="T27"/>
          <cell r="U27"/>
          <cell r="V27"/>
          <cell r="W27"/>
          <cell r="X27"/>
          <cell r="Y27"/>
          <cell r="Z27"/>
        </row>
        <row r="28">
          <cell r="A28"/>
          <cell r="B28" t="str">
            <v>INTANGIBLE PLANT</v>
          </cell>
          <cell r="C28"/>
          <cell r="D28"/>
          <cell r="E28"/>
          <cell r="F28">
            <v>3445.8316342932662</v>
          </cell>
          <cell r="G28">
            <v>4616.2804457067368</v>
          </cell>
          <cell r="H28"/>
          <cell r="I28"/>
          <cell r="J28"/>
          <cell r="K28"/>
          <cell r="L28">
            <v>8062.1120800000026</v>
          </cell>
          <cell r="M28"/>
          <cell r="N28"/>
          <cell r="O28"/>
          <cell r="P28"/>
          <cell r="Q28"/>
          <cell r="R28"/>
          <cell r="S28"/>
          <cell r="T28"/>
          <cell r="U28"/>
          <cell r="V28"/>
          <cell r="W28"/>
          <cell r="X28"/>
          <cell r="Y28"/>
          <cell r="Z28"/>
        </row>
        <row r="29">
          <cell r="A29"/>
          <cell r="B29" t="str">
            <v>REGULATORY ASSET</v>
          </cell>
          <cell r="C29"/>
          <cell r="D29"/>
          <cell r="E29"/>
          <cell r="F29">
            <v>132206.40893383336</v>
          </cell>
          <cell r="G29"/>
          <cell r="H29"/>
          <cell r="I29"/>
          <cell r="J29"/>
          <cell r="K29"/>
          <cell r="L29">
            <v>132206.40893383336</v>
          </cell>
          <cell r="M29"/>
          <cell r="N29"/>
          <cell r="O29"/>
          <cell r="P29"/>
          <cell r="Q29"/>
          <cell r="R29"/>
          <cell r="S29"/>
          <cell r="T29"/>
          <cell r="U29"/>
          <cell r="V29"/>
          <cell r="W29"/>
          <cell r="X29"/>
          <cell r="Y29"/>
          <cell r="Z29"/>
        </row>
        <row r="30">
          <cell r="A30"/>
          <cell r="B30" t="str">
            <v>SUBTOTAL INVESTMENT</v>
          </cell>
          <cell r="C30"/>
          <cell r="D30"/>
          <cell r="E30">
            <v>97454.494407769234</v>
          </cell>
          <cell r="F30">
            <v>5071415.8601406487</v>
          </cell>
          <cell r="G30">
            <v>773568.31344501069</v>
          </cell>
          <cell r="H30">
            <v>79281.917018195469</v>
          </cell>
          <cell r="I30">
            <v>13499.192920878904</v>
          </cell>
          <cell r="J30">
            <v>5816.7672906089911</v>
          </cell>
          <cell r="K30">
            <v>132011.38355250045</v>
          </cell>
          <cell r="L30">
            <v>6173047.9287756123</v>
          </cell>
          <cell r="M30"/>
          <cell r="N30"/>
          <cell r="O30"/>
          <cell r="P30"/>
          <cell r="Q30"/>
          <cell r="R30"/>
          <cell r="S30"/>
          <cell r="T30"/>
          <cell r="U30"/>
          <cell r="V30"/>
          <cell r="W30"/>
          <cell r="X30"/>
          <cell r="Y30"/>
          <cell r="Z30"/>
        </row>
        <row r="31">
          <cell r="A31"/>
          <cell r="B31" t="str">
            <v>PERCENT</v>
          </cell>
          <cell r="C31"/>
          <cell r="D31"/>
          <cell r="E31">
            <v>1.5787095051293203E-2</v>
          </cell>
          <cell r="F31">
            <v>0.8215416304319112</v>
          </cell>
          <cell r="G31">
            <v>0.1253138356238947</v>
          </cell>
          <cell r="H31">
            <v>1.2843236911967501E-2</v>
          </cell>
          <cell r="I31">
            <v>2.1867954172123832E-3</v>
          </cell>
          <cell r="J31">
            <v>9.4228448535028833E-4</v>
          </cell>
          <cell r="K31">
            <v>2.1385122078370795E-2</v>
          </cell>
          <cell r="L31">
            <v>1</v>
          </cell>
          <cell r="M31"/>
          <cell r="N31"/>
          <cell r="O31"/>
          <cell r="P31"/>
          <cell r="Q31"/>
          <cell r="R31"/>
          <cell r="S31"/>
          <cell r="T31"/>
          <cell r="U31"/>
          <cell r="V31"/>
          <cell r="W31"/>
          <cell r="X31"/>
          <cell r="Y31"/>
          <cell r="Z31"/>
        </row>
        <row r="32">
          <cell r="A32"/>
          <cell r="B32" t="str">
            <v>GENERAL PLANT</v>
          </cell>
          <cell r="C32"/>
          <cell r="D32"/>
          <cell r="E32">
            <v>12292.584929386305</v>
          </cell>
          <cell r="F32">
            <v>639691.48423436598</v>
          </cell>
          <cell r="G32">
            <v>97575.327330894594</v>
          </cell>
          <cell r="H32">
            <v>10000.356620115308</v>
          </cell>
          <cell r="I32">
            <v>1702.7431773823382</v>
          </cell>
          <cell r="J32">
            <v>733.70762804539208</v>
          </cell>
          <cell r="K32">
            <v>16651.47568438396</v>
          </cell>
          <cell r="L32">
            <v>778647.67960457387</v>
          </cell>
          <cell r="M32"/>
          <cell r="N32"/>
          <cell r="O32"/>
          <cell r="P32"/>
          <cell r="Q32"/>
          <cell r="R32"/>
          <cell r="S32"/>
          <cell r="T32"/>
          <cell r="U32"/>
          <cell r="V32"/>
          <cell r="W32"/>
          <cell r="X32"/>
          <cell r="Y32"/>
          <cell r="Z32"/>
        </row>
        <row r="33">
          <cell r="A33"/>
          <cell r="B33" t="str">
            <v>CUSTOMER FUNDED  PROJECTS (NET PLANT)</v>
          </cell>
          <cell r="C33"/>
          <cell r="D33"/>
          <cell r="E33"/>
          <cell r="F33">
            <v>-361781.07119995321</v>
          </cell>
          <cell r="G33">
            <v>-9556.4805359999991</v>
          </cell>
          <cell r="H33"/>
          <cell r="I33"/>
          <cell r="J33"/>
          <cell r="K33"/>
          <cell r="L33">
            <v>-371337.5517359532</v>
          </cell>
          <cell r="M33"/>
          <cell r="N33"/>
          <cell r="O33"/>
          <cell r="P33"/>
          <cell r="Q33"/>
          <cell r="R33"/>
          <cell r="S33"/>
          <cell r="T33"/>
          <cell r="U33"/>
          <cell r="V33"/>
          <cell r="W33"/>
          <cell r="X33"/>
          <cell r="Y33"/>
          <cell r="Z33"/>
        </row>
        <row r="34">
          <cell r="A34"/>
          <cell r="B34" t="str">
            <v>ACC REV BAL ADJ - FIBER</v>
          </cell>
          <cell r="C34"/>
          <cell r="D34"/>
          <cell r="E34">
            <v>0</v>
          </cell>
          <cell r="F34">
            <v>0</v>
          </cell>
          <cell r="G34">
            <v>0</v>
          </cell>
          <cell r="H34">
            <v>0</v>
          </cell>
          <cell r="I34">
            <v>0</v>
          </cell>
          <cell r="J34">
            <v>0</v>
          </cell>
          <cell r="K34">
            <v>0</v>
          </cell>
          <cell r="L34">
            <v>0</v>
          </cell>
          <cell r="M34"/>
          <cell r="N34"/>
          <cell r="O34"/>
          <cell r="P34"/>
          <cell r="Q34"/>
          <cell r="R34"/>
          <cell r="S34"/>
          <cell r="T34"/>
          <cell r="U34"/>
          <cell r="V34"/>
          <cell r="W34"/>
          <cell r="X34"/>
          <cell r="Y34"/>
          <cell r="Z34"/>
        </row>
        <row r="35">
          <cell r="A35"/>
          <cell r="B35" t="str">
            <v>ACC REV BAL ADJ - 3AC</v>
          </cell>
          <cell r="C35"/>
          <cell r="D35"/>
          <cell r="E35"/>
          <cell r="F35"/>
          <cell r="G35">
            <v>-93149</v>
          </cell>
          <cell r="H35"/>
          <cell r="I35"/>
          <cell r="J35"/>
          <cell r="K35"/>
          <cell r="L35">
            <v>-93149</v>
          </cell>
          <cell r="M35"/>
          <cell r="N35"/>
          <cell r="O35"/>
          <cell r="P35"/>
          <cell r="Q35"/>
          <cell r="R35"/>
          <cell r="S35"/>
          <cell r="T35"/>
          <cell r="U35"/>
          <cell r="V35"/>
          <cell r="W35"/>
          <cell r="X35"/>
          <cell r="Y35"/>
          <cell r="Z35"/>
        </row>
        <row r="36">
          <cell r="A36"/>
          <cell r="B36" t="str">
            <v>INVESTMENT BASE</v>
          </cell>
          <cell r="C36"/>
          <cell r="D36"/>
          <cell r="E36">
            <v>109747.07933715553</v>
          </cell>
          <cell r="F36">
            <v>5349326.2731750607</v>
          </cell>
          <cell r="G36">
            <v>768438.16023990524</v>
          </cell>
          <cell r="H36">
            <v>89282.273638310784</v>
          </cell>
          <cell r="I36">
            <v>15201.936098261242</v>
          </cell>
          <cell r="J36">
            <v>6550.4749186543831</v>
          </cell>
          <cell r="K36">
            <v>148662.85923688443</v>
          </cell>
          <cell r="L36">
            <v>6487209.056644232</v>
          </cell>
          <cell r="M36"/>
          <cell r="N36"/>
          <cell r="O36"/>
          <cell r="P36"/>
          <cell r="Q36"/>
          <cell r="R36"/>
          <cell r="S36"/>
          <cell r="T36"/>
          <cell r="U36"/>
          <cell r="V36"/>
          <cell r="W36"/>
          <cell r="X36"/>
          <cell r="Y36"/>
          <cell r="Z36"/>
        </row>
        <row r="37">
          <cell r="A37"/>
          <cell r="B37"/>
          <cell r="C37"/>
          <cell r="D37"/>
          <cell r="E37">
            <v>1.6917456856851566E-2</v>
          </cell>
          <cell r="F37">
            <v>0.8245959435662481</v>
          </cell>
          <cell r="G37">
            <v>0.11845435433483788</v>
          </cell>
          <cell r="H37">
            <v>1.376281739323129E-2</v>
          </cell>
          <cell r="I37">
            <v>2.343370772472847E-3</v>
          </cell>
          <cell r="J37">
            <v>1.0097524006792034E-3</v>
          </cell>
          <cell r="K37">
            <v>2.2916304675679164E-2</v>
          </cell>
          <cell r="L37"/>
          <cell r="M37"/>
          <cell r="N37"/>
          <cell r="O37"/>
          <cell r="P37"/>
          <cell r="Q37"/>
          <cell r="R37"/>
          <cell r="S37"/>
          <cell r="T37"/>
          <cell r="U37"/>
          <cell r="V37"/>
          <cell r="W37"/>
          <cell r="X37"/>
          <cell r="Y37"/>
          <cell r="Z37"/>
        </row>
        <row r="38">
          <cell r="A38"/>
          <cell r="B38"/>
          <cell r="C38"/>
          <cell r="D38"/>
          <cell r="E38" t="str">
            <v>GENERATION INTEGRATION</v>
          </cell>
          <cell r="F38" t="str">
            <v>NETWORK</v>
          </cell>
          <cell r="G38" t="str">
            <v>SOUTHERN INTERTIE</v>
          </cell>
          <cell r="H38" t="str">
            <v>EASTERN INTERTIE</v>
          </cell>
          <cell r="I38" t="str">
            <v>UTILITY DELIVERY</v>
          </cell>
          <cell r="J38" t="str">
            <v>DSI DELIVERY</v>
          </cell>
          <cell r="K38" t="str">
            <v>ANCILLARY SERVICES</v>
          </cell>
          <cell r="L38" t="str">
            <v>TOTAL</v>
          </cell>
          <cell r="M38"/>
          <cell r="N38"/>
          <cell r="O38"/>
          <cell r="P38"/>
          <cell r="Q38"/>
          <cell r="R38"/>
          <cell r="S38"/>
          <cell r="T38"/>
          <cell r="U38"/>
          <cell r="V38"/>
          <cell r="W38"/>
          <cell r="X38"/>
          <cell r="Y38"/>
          <cell r="Z38"/>
        </row>
        <row r="39">
          <cell r="A39"/>
          <cell r="B39">
            <v>2022</v>
          </cell>
          <cell r="C39"/>
          <cell r="D39"/>
          <cell r="E39"/>
          <cell r="F39"/>
          <cell r="G39"/>
          <cell r="H39"/>
          <cell r="I39"/>
          <cell r="J39"/>
          <cell r="K39"/>
          <cell r="L39"/>
          <cell r="M39"/>
          <cell r="N39"/>
          <cell r="O39"/>
          <cell r="P39"/>
          <cell r="Q39"/>
          <cell r="R39"/>
          <cell r="S39"/>
          <cell r="T39"/>
          <cell r="U39"/>
          <cell r="V39"/>
          <cell r="W39"/>
          <cell r="X39"/>
          <cell r="Y39"/>
          <cell r="Z39"/>
        </row>
        <row r="40">
          <cell r="A40"/>
          <cell r="B40" t="str">
            <v>NET TRANSMISSION PLANT</v>
          </cell>
          <cell r="C40"/>
          <cell r="D40"/>
          <cell r="E40">
            <v>94062.494407769234</v>
          </cell>
          <cell r="F40">
            <v>5015904.63797794</v>
          </cell>
          <cell r="G40">
            <v>741664.03299930389</v>
          </cell>
          <cell r="H40">
            <v>75949.917018195469</v>
          </cell>
          <cell r="I40">
            <v>13062.192920878904</v>
          </cell>
          <cell r="J40">
            <v>5629.7672906089911</v>
          </cell>
          <cell r="K40">
            <v>183012.66476787149</v>
          </cell>
          <cell r="L40">
            <v>6129285.7073825682</v>
          </cell>
          <cell r="M40"/>
          <cell r="N40"/>
          <cell r="O40"/>
          <cell r="P40"/>
          <cell r="Q40"/>
          <cell r="R40"/>
          <cell r="S40"/>
          <cell r="T40"/>
          <cell r="U40"/>
          <cell r="V40"/>
          <cell r="W40"/>
          <cell r="X40"/>
          <cell r="Y40"/>
          <cell r="Z40"/>
        </row>
        <row r="41">
          <cell r="A41"/>
          <cell r="B41" t="str">
            <v>INTANGIBLE PLANT</v>
          </cell>
          <cell r="C41"/>
          <cell r="D41"/>
          <cell r="E41"/>
          <cell r="F41">
            <v>3261.6176938712924</v>
          </cell>
          <cell r="G41">
            <v>4369.4943861287111</v>
          </cell>
          <cell r="H41"/>
          <cell r="I41"/>
          <cell r="J41"/>
          <cell r="K41"/>
          <cell r="L41">
            <v>7631.1120800000035</v>
          </cell>
          <cell r="M41"/>
          <cell r="N41"/>
          <cell r="O41"/>
          <cell r="P41"/>
          <cell r="Q41"/>
          <cell r="R41"/>
          <cell r="S41"/>
          <cell r="T41"/>
          <cell r="U41"/>
          <cell r="V41"/>
          <cell r="W41"/>
          <cell r="X41"/>
          <cell r="Y41"/>
          <cell r="Z41"/>
        </row>
        <row r="42">
          <cell r="A42"/>
          <cell r="B42" t="str">
            <v>REGULATORY ASSET</v>
          </cell>
          <cell r="C42"/>
          <cell r="D42"/>
          <cell r="E42"/>
          <cell r="F42">
            <v>103937.12473783334</v>
          </cell>
          <cell r="G42"/>
          <cell r="H42"/>
          <cell r="I42"/>
          <cell r="J42"/>
          <cell r="K42"/>
          <cell r="L42">
            <v>103937.12473783334</v>
          </cell>
          <cell r="M42"/>
          <cell r="N42"/>
          <cell r="O42"/>
          <cell r="P42"/>
          <cell r="Q42"/>
          <cell r="R42"/>
          <cell r="S42"/>
          <cell r="T42"/>
          <cell r="U42"/>
          <cell r="V42"/>
          <cell r="W42"/>
          <cell r="X42"/>
          <cell r="Y42"/>
          <cell r="Z42"/>
        </row>
        <row r="43">
          <cell r="A43"/>
          <cell r="B43" t="str">
            <v>SUBTOTAL INVESTMENT</v>
          </cell>
          <cell r="C43"/>
          <cell r="D43"/>
          <cell r="E43">
            <v>94062.494407769234</v>
          </cell>
          <cell r="F43">
            <v>5123103.3804096449</v>
          </cell>
          <cell r="G43">
            <v>746033.52738543262</v>
          </cell>
          <cell r="H43">
            <v>75949.917018195469</v>
          </cell>
          <cell r="I43">
            <v>13062.192920878904</v>
          </cell>
          <cell r="J43">
            <v>5629.7672906089911</v>
          </cell>
          <cell r="K43">
            <v>183012.66476787149</v>
          </cell>
          <cell r="L43">
            <v>6240853.9442004021</v>
          </cell>
          <cell r="M43"/>
          <cell r="N43"/>
          <cell r="O43"/>
          <cell r="P43"/>
          <cell r="Q43"/>
          <cell r="R43"/>
          <cell r="S43"/>
          <cell r="T43"/>
          <cell r="U43"/>
          <cell r="V43"/>
          <cell r="W43"/>
          <cell r="X43"/>
          <cell r="Y43"/>
          <cell r="Z43"/>
        </row>
        <row r="44">
          <cell r="A44"/>
          <cell r="B44" t="str">
            <v>PERCENT</v>
          </cell>
          <cell r="C44"/>
          <cell r="D44"/>
          <cell r="E44">
            <v>1.5072055082330695E-2</v>
          </cell>
          <cell r="F44">
            <v>0.82089781722427946</v>
          </cell>
          <cell r="G44">
            <v>0.11954029593637874</v>
          </cell>
          <cell r="H44">
            <v>1.2169795623686305E-2</v>
          </cell>
          <cell r="I44">
            <v>2.0930137185821407E-3</v>
          </cell>
          <cell r="J44">
            <v>9.0208284650543835E-4</v>
          </cell>
          <cell r="K44">
            <v>2.9324939568237188E-2</v>
          </cell>
          <cell r="L44">
            <v>0.99999999999999989</v>
          </cell>
          <cell r="M44"/>
          <cell r="N44"/>
          <cell r="O44"/>
          <cell r="P44"/>
          <cell r="Q44"/>
          <cell r="R44"/>
          <cell r="S44"/>
          <cell r="T44"/>
          <cell r="U44"/>
          <cell r="V44"/>
          <cell r="W44"/>
          <cell r="X44"/>
          <cell r="Y44"/>
          <cell r="Z44"/>
        </row>
        <row r="45">
          <cell r="A45"/>
          <cell r="B45" t="str">
            <v>GENERAL PLANT</v>
          </cell>
          <cell r="C45"/>
          <cell r="D45"/>
          <cell r="E45">
            <v>11511.074137532269</v>
          </cell>
          <cell r="F45">
            <v>626949.38293350942</v>
          </cell>
          <cell r="G45">
            <v>91297.25186310937</v>
          </cell>
          <cell r="H45">
            <v>9294.513515087694</v>
          </cell>
          <cell r="I45">
            <v>1598.510352693422</v>
          </cell>
          <cell r="J45">
            <v>688.95332903165729</v>
          </cell>
          <cell r="K45">
            <v>22396.518033188629</v>
          </cell>
          <cell r="L45">
            <v>763736.2041641525</v>
          </cell>
          <cell r="M45"/>
          <cell r="N45"/>
          <cell r="O45"/>
          <cell r="P45"/>
          <cell r="Q45"/>
          <cell r="R45"/>
          <cell r="S45"/>
          <cell r="T45"/>
          <cell r="U45"/>
          <cell r="V45"/>
          <cell r="W45"/>
          <cell r="X45"/>
          <cell r="Y45"/>
          <cell r="Z45"/>
        </row>
        <row r="46">
          <cell r="A46"/>
          <cell r="B46" t="str">
            <v>CUSTOMER FUNDED  PROJECTS (NET PLANT)</v>
          </cell>
          <cell r="C46"/>
          <cell r="D46"/>
          <cell r="E46"/>
          <cell r="F46">
            <v>-387289.90391545743</v>
          </cell>
          <cell r="G46">
            <v>-9276.2272919999996</v>
          </cell>
          <cell r="H46"/>
          <cell r="I46"/>
          <cell r="J46"/>
          <cell r="K46"/>
          <cell r="L46">
            <v>-396566.13120745745</v>
          </cell>
          <cell r="M46"/>
          <cell r="N46"/>
          <cell r="O46"/>
          <cell r="P46"/>
          <cell r="Q46"/>
          <cell r="R46"/>
          <cell r="S46"/>
          <cell r="T46"/>
          <cell r="U46"/>
          <cell r="V46"/>
          <cell r="W46"/>
          <cell r="X46"/>
          <cell r="Y46"/>
          <cell r="Z46"/>
        </row>
        <row r="47">
          <cell r="A47"/>
          <cell r="B47" t="str">
            <v>ACC REV BAL ADJ - FIBER</v>
          </cell>
          <cell r="C47"/>
          <cell r="D47"/>
          <cell r="E47">
            <v>0</v>
          </cell>
          <cell r="F47">
            <v>0</v>
          </cell>
          <cell r="G47">
            <v>0</v>
          </cell>
          <cell r="H47">
            <v>0</v>
          </cell>
          <cell r="I47">
            <v>0</v>
          </cell>
          <cell r="J47">
            <v>0</v>
          </cell>
          <cell r="K47">
            <v>0</v>
          </cell>
          <cell r="L47">
            <v>0</v>
          </cell>
          <cell r="M47"/>
          <cell r="N47"/>
          <cell r="O47"/>
          <cell r="P47"/>
          <cell r="Q47"/>
          <cell r="R47"/>
          <cell r="S47"/>
          <cell r="T47"/>
          <cell r="U47"/>
          <cell r="V47"/>
          <cell r="W47"/>
          <cell r="X47"/>
          <cell r="Y47"/>
          <cell r="Z47"/>
        </row>
        <row r="48">
          <cell r="A48"/>
          <cell r="B48" t="str">
            <v>ACC REV BAL ADJ - 3AC</v>
          </cell>
          <cell r="C48"/>
          <cell r="D48"/>
          <cell r="E48"/>
          <cell r="F48"/>
          <cell r="G48">
            <v>-90888</v>
          </cell>
          <cell r="H48"/>
          <cell r="I48"/>
          <cell r="J48"/>
          <cell r="K48"/>
          <cell r="L48">
            <v>-90888</v>
          </cell>
          <cell r="M48"/>
          <cell r="N48"/>
          <cell r="O48"/>
          <cell r="P48"/>
          <cell r="Q48"/>
          <cell r="R48"/>
          <cell r="S48"/>
          <cell r="T48"/>
          <cell r="U48"/>
          <cell r="V48"/>
          <cell r="W48"/>
          <cell r="X48"/>
          <cell r="Y48"/>
          <cell r="Z48"/>
        </row>
        <row r="49">
          <cell r="A49"/>
          <cell r="B49" t="str">
            <v>INVESTMENT BASE</v>
          </cell>
          <cell r="C49"/>
          <cell r="D49"/>
          <cell r="E49">
            <v>105573.5685453015</v>
          </cell>
          <cell r="F49">
            <v>5362762.859427697</v>
          </cell>
          <cell r="G49">
            <v>737166.55195654207</v>
          </cell>
          <cell r="H49">
            <v>85244.430533283157</v>
          </cell>
          <cell r="I49">
            <v>14660.703273572326</v>
          </cell>
          <cell r="J49">
            <v>6318.7206196406487</v>
          </cell>
          <cell r="K49">
            <v>205409.18280106012</v>
          </cell>
          <cell r="L49">
            <v>6517136.0171570964</v>
          </cell>
          <cell r="M49"/>
          <cell r="N49"/>
          <cell r="O49"/>
          <cell r="P49"/>
          <cell r="Q49"/>
          <cell r="R49"/>
          <cell r="S49"/>
          <cell r="T49"/>
          <cell r="U49"/>
          <cell r="V49"/>
          <cell r="W49"/>
          <cell r="X49"/>
          <cell r="Y49"/>
          <cell r="Z49"/>
        </row>
        <row r="50">
          <cell r="A50"/>
          <cell r="B50"/>
          <cell r="C50"/>
          <cell r="D50"/>
          <cell r="E50">
            <v>1.619938087334178E-2</v>
          </cell>
          <cell r="F50">
            <v>0.82287109633888544</v>
          </cell>
          <cell r="G50">
            <v>0.1131120403219862</v>
          </cell>
          <cell r="H50">
            <v>1.3080044717321776E-2</v>
          </cell>
          <cell r="I50">
            <v>2.2495622670719731E-3</v>
          </cell>
          <cell r="J50">
            <v>9.6955481717826719E-4</v>
          </cell>
          <cell r="K50">
            <v>3.1518320664214658E-2</v>
          </cell>
          <cell r="L50"/>
          <cell r="M50"/>
          <cell r="N50"/>
          <cell r="O50"/>
          <cell r="P50"/>
          <cell r="Q50"/>
          <cell r="R50"/>
          <cell r="S50"/>
          <cell r="T50"/>
          <cell r="U50"/>
          <cell r="V50"/>
          <cell r="W50"/>
          <cell r="X50"/>
          <cell r="Y50"/>
          <cell r="Z50"/>
        </row>
        <row r="51">
          <cell r="A51"/>
          <cell r="B51"/>
          <cell r="C51"/>
          <cell r="D51"/>
          <cell r="E51" t="str">
            <v>GENERATION INTEGRATION</v>
          </cell>
          <cell r="F51" t="str">
            <v>NETWORK</v>
          </cell>
          <cell r="G51" t="str">
            <v>SOUTHERN INTERTIE</v>
          </cell>
          <cell r="H51" t="str">
            <v>EASTERN INTERTIE</v>
          </cell>
          <cell r="I51" t="str">
            <v>UTILITY DELIVERY</v>
          </cell>
          <cell r="J51" t="str">
            <v>DSI DELIVERY</v>
          </cell>
          <cell r="K51" t="str">
            <v>ANCILLARY SERVICES</v>
          </cell>
          <cell r="L51" t="str">
            <v>TOTAL</v>
          </cell>
          <cell r="M51"/>
          <cell r="N51"/>
          <cell r="O51"/>
          <cell r="P51"/>
          <cell r="Q51"/>
          <cell r="R51"/>
          <cell r="S51"/>
          <cell r="T51"/>
          <cell r="U51"/>
          <cell r="V51"/>
          <cell r="W51"/>
          <cell r="X51"/>
          <cell r="Y51"/>
          <cell r="Z51"/>
        </row>
        <row r="52">
          <cell r="A52"/>
          <cell r="B52">
            <v>2023</v>
          </cell>
          <cell r="C52"/>
          <cell r="D52"/>
          <cell r="E52"/>
          <cell r="F52"/>
          <cell r="G52"/>
          <cell r="H52"/>
          <cell r="I52"/>
          <cell r="J52"/>
          <cell r="K52"/>
          <cell r="L52"/>
          <cell r="M52"/>
          <cell r="N52"/>
          <cell r="O52"/>
          <cell r="P52"/>
          <cell r="Q52"/>
          <cell r="R52"/>
          <cell r="S52"/>
          <cell r="T52"/>
          <cell r="U52"/>
          <cell r="V52"/>
          <cell r="W52"/>
          <cell r="X52"/>
          <cell r="Y52"/>
          <cell r="Z52"/>
        </row>
        <row r="53">
          <cell r="A53"/>
          <cell r="B53" t="str">
            <v>NET TRANSMISSION PLANT</v>
          </cell>
          <cell r="C53"/>
          <cell r="D53"/>
          <cell r="E53">
            <v>90670.494407769234</v>
          </cell>
          <cell r="F53">
            <v>5142989.3309047269</v>
          </cell>
          <cell r="G53">
            <v>714376.03299930389</v>
          </cell>
          <cell r="H53">
            <v>72617.917018195469</v>
          </cell>
          <cell r="I53">
            <v>12625.192920878904</v>
          </cell>
          <cell r="J53">
            <v>5442.7672906089911</v>
          </cell>
          <cell r="K53">
            <v>246044.67749865024</v>
          </cell>
          <cell r="L53">
            <v>6284766.4130401332</v>
          </cell>
          <cell r="M53"/>
          <cell r="N53"/>
          <cell r="O53"/>
          <cell r="P53"/>
          <cell r="Q53"/>
          <cell r="R53"/>
          <cell r="S53"/>
          <cell r="T53"/>
          <cell r="U53"/>
          <cell r="V53"/>
          <cell r="W53"/>
          <cell r="X53"/>
          <cell r="Y53"/>
          <cell r="Z53"/>
        </row>
        <row r="54">
          <cell r="A54"/>
          <cell r="B54" t="str">
            <v>INTANGIBLE PLANT</v>
          </cell>
          <cell r="C54"/>
          <cell r="D54"/>
          <cell r="E54"/>
          <cell r="F54">
            <v>3077.4037534493182</v>
          </cell>
          <cell r="G54">
            <v>4122.7083265506844</v>
          </cell>
          <cell r="H54"/>
          <cell r="I54"/>
          <cell r="J54"/>
          <cell r="K54"/>
          <cell r="L54">
            <v>7200.1120800000026</v>
          </cell>
          <cell r="M54"/>
          <cell r="N54"/>
          <cell r="O54"/>
          <cell r="P54"/>
          <cell r="Q54"/>
          <cell r="R54"/>
          <cell r="S54"/>
          <cell r="T54"/>
          <cell r="U54"/>
          <cell r="V54"/>
          <cell r="W54"/>
          <cell r="X54"/>
          <cell r="Y54"/>
          <cell r="Z54"/>
        </row>
        <row r="55">
          <cell r="A55"/>
          <cell r="B55" t="str">
            <v>REGULATORY ASSET</v>
          </cell>
          <cell r="C55"/>
          <cell r="D55"/>
          <cell r="E55"/>
          <cell r="F55">
            <v>75667.840541833342</v>
          </cell>
          <cell r="G55"/>
          <cell r="H55"/>
          <cell r="I55"/>
          <cell r="J55"/>
          <cell r="K55"/>
          <cell r="L55">
            <v>75667.840541833342</v>
          </cell>
          <cell r="M55"/>
          <cell r="N55"/>
          <cell r="O55"/>
          <cell r="P55"/>
          <cell r="Q55"/>
          <cell r="R55"/>
          <cell r="S55"/>
          <cell r="T55"/>
          <cell r="U55"/>
          <cell r="V55"/>
          <cell r="W55"/>
          <cell r="X55"/>
          <cell r="Y55"/>
          <cell r="Z55"/>
        </row>
        <row r="56">
          <cell r="A56"/>
          <cell r="B56" t="str">
            <v>SUBTOTAL INVESTMENT</v>
          </cell>
          <cell r="C56"/>
          <cell r="D56"/>
          <cell r="E56">
            <v>90670.494407769234</v>
          </cell>
          <cell r="F56">
            <v>5221734.5752000092</v>
          </cell>
          <cell r="G56">
            <v>718498.74132585456</v>
          </cell>
          <cell r="H56">
            <v>72617.917018195469</v>
          </cell>
          <cell r="I56">
            <v>12625.192920878904</v>
          </cell>
          <cell r="J56">
            <v>5442.7672906089911</v>
          </cell>
          <cell r="K56">
            <v>246044.67749865024</v>
          </cell>
          <cell r="L56">
            <v>6367634.3656619666</v>
          </cell>
          <cell r="M56"/>
          <cell r="N56"/>
          <cell r="O56"/>
          <cell r="P56"/>
          <cell r="Q56"/>
          <cell r="R56"/>
          <cell r="S56"/>
          <cell r="T56"/>
          <cell r="U56"/>
          <cell r="V56"/>
          <cell r="W56"/>
          <cell r="X56"/>
          <cell r="Y56"/>
          <cell r="Z56"/>
        </row>
        <row r="57">
          <cell r="A57"/>
          <cell r="B57" t="str">
            <v>PERCENT</v>
          </cell>
          <cell r="C57"/>
          <cell r="D57"/>
          <cell r="E57">
            <v>1.4239274619271157E-2</v>
          </cell>
          <cell r="F57">
            <v>0.820043092197422</v>
          </cell>
          <cell r="G57">
            <v>0.11283605497206667</v>
          </cell>
          <cell r="H57">
            <v>1.140422217233358E-2</v>
          </cell>
          <cell r="I57">
            <v>1.9827132331845837E-3</v>
          </cell>
          <cell r="J57">
            <v>8.5475499660589763E-4</v>
          </cell>
          <cell r="K57">
            <v>3.863988780911605E-2</v>
          </cell>
          <cell r="L57">
            <v>1</v>
          </cell>
          <cell r="M57"/>
          <cell r="N57"/>
          <cell r="O57"/>
          <cell r="P57"/>
          <cell r="Q57"/>
          <cell r="R57"/>
          <cell r="S57"/>
          <cell r="T57"/>
          <cell r="U57"/>
          <cell r="V57"/>
          <cell r="W57"/>
          <cell r="X57"/>
          <cell r="Y57"/>
          <cell r="Z57"/>
        </row>
        <row r="58">
          <cell r="A58"/>
          <cell r="B58" t="str">
            <v>GENERAL PLANT</v>
          </cell>
          <cell r="C58"/>
          <cell r="D58"/>
          <cell r="E58">
            <v>10911.843387820129</v>
          </cell>
          <cell r="F58">
            <v>628415.56417570007</v>
          </cell>
          <cell r="G58">
            <v>86468.545152454972</v>
          </cell>
          <cell r="H58">
            <v>8739.2855065800704</v>
          </cell>
          <cell r="I58">
            <v>1519.3931476107782</v>
          </cell>
          <cell r="J58">
            <v>655.01599676273986</v>
          </cell>
          <cell r="K58">
            <v>29610.525505659218</v>
          </cell>
          <cell r="L58">
            <v>766320.17287258804</v>
          </cell>
          <cell r="M58"/>
          <cell r="N58"/>
          <cell r="O58"/>
          <cell r="P58"/>
          <cell r="Q58"/>
          <cell r="R58"/>
          <cell r="S58"/>
          <cell r="T58"/>
          <cell r="U58"/>
          <cell r="V58"/>
          <cell r="W58"/>
          <cell r="X58"/>
          <cell r="Y58"/>
          <cell r="Z58"/>
        </row>
        <row r="59">
          <cell r="A59"/>
          <cell r="B59" t="str">
            <v>CUSTOMER FUNDED  PROJECTS (NET PLANT)</v>
          </cell>
          <cell r="C59"/>
          <cell r="D59"/>
          <cell r="E59"/>
          <cell r="F59">
            <v>-426792.9693789765</v>
          </cell>
          <cell r="G59"/>
          <cell r="H59"/>
          <cell r="I59"/>
          <cell r="J59"/>
          <cell r="K59"/>
          <cell r="L59">
            <v>-426792.9693789765</v>
          </cell>
          <cell r="M59"/>
          <cell r="N59"/>
          <cell r="O59"/>
          <cell r="P59"/>
          <cell r="Q59"/>
          <cell r="R59"/>
          <cell r="S59"/>
          <cell r="T59"/>
          <cell r="U59"/>
          <cell r="V59"/>
          <cell r="W59"/>
          <cell r="X59"/>
          <cell r="Y59"/>
          <cell r="Z59"/>
        </row>
        <row r="60">
          <cell r="A60"/>
          <cell r="B60" t="str">
            <v>ACC REV BAL ADJ - FIBER</v>
          </cell>
          <cell r="C60"/>
          <cell r="D60"/>
          <cell r="E60">
            <v>0</v>
          </cell>
          <cell r="F60">
            <v>0</v>
          </cell>
          <cell r="G60">
            <v>0</v>
          </cell>
          <cell r="H60">
            <v>0</v>
          </cell>
          <cell r="I60">
            <v>0</v>
          </cell>
          <cell r="J60">
            <v>0</v>
          </cell>
          <cell r="K60">
            <v>0</v>
          </cell>
          <cell r="L60">
            <v>0</v>
          </cell>
          <cell r="M60"/>
          <cell r="N60"/>
          <cell r="O60"/>
          <cell r="P60"/>
          <cell r="Q60"/>
          <cell r="R60"/>
          <cell r="S60"/>
          <cell r="T60"/>
          <cell r="U60"/>
          <cell r="V60"/>
          <cell r="W60"/>
          <cell r="X60"/>
          <cell r="Y60"/>
          <cell r="Z60"/>
        </row>
        <row r="61">
          <cell r="A61"/>
          <cell r="B61" t="str">
            <v>ACC REV BAL ADJ - 3AC</v>
          </cell>
          <cell r="C61"/>
          <cell r="D61"/>
          <cell r="E61"/>
          <cell r="F61"/>
          <cell r="G61">
            <v>-87381</v>
          </cell>
          <cell r="H61"/>
          <cell r="I61"/>
          <cell r="J61"/>
          <cell r="K61"/>
          <cell r="L61">
            <v>-87381</v>
          </cell>
          <cell r="M61"/>
          <cell r="N61"/>
          <cell r="O61"/>
          <cell r="P61"/>
          <cell r="Q61"/>
          <cell r="R61"/>
          <cell r="S61"/>
          <cell r="T61"/>
          <cell r="U61"/>
          <cell r="V61"/>
          <cell r="W61"/>
          <cell r="X61"/>
          <cell r="Y61"/>
          <cell r="Z61"/>
        </row>
        <row r="62">
          <cell r="A62"/>
          <cell r="B62" t="str">
            <v>INVESTMENT BASE</v>
          </cell>
          <cell r="C62"/>
          <cell r="D62"/>
          <cell r="E62">
            <v>101582.33779558937</v>
          </cell>
          <cell r="F62">
            <v>5423357.1699967328</v>
          </cell>
          <cell r="G62">
            <v>717586.28647830954</v>
          </cell>
          <cell r="H62">
            <v>81357.202524775537</v>
          </cell>
          <cell r="I62">
            <v>14144.586068489683</v>
          </cell>
          <cell r="J62">
            <v>6097.7832873717307</v>
          </cell>
          <cell r="K62">
            <v>275655.20300430944</v>
          </cell>
          <cell r="L62">
            <v>6619780.5691555776</v>
          </cell>
          <cell r="M62"/>
          <cell r="N62"/>
          <cell r="O62"/>
          <cell r="P62"/>
          <cell r="Q62"/>
          <cell r="R62"/>
          <cell r="S62"/>
          <cell r="T62"/>
          <cell r="U62"/>
          <cell r="V62"/>
          <cell r="W62"/>
          <cell r="X62"/>
          <cell r="Y62"/>
          <cell r="Z62"/>
        </row>
        <row r="63">
          <cell r="A63"/>
          <cell r="B63"/>
          <cell r="C63"/>
          <cell r="D63"/>
          <cell r="E63">
            <v>1.5345272661892366E-2</v>
          </cell>
          <cell r="F63">
            <v>0.81926539910801588</v>
          </cell>
          <cell r="G63">
            <v>0.10840031311941888</v>
          </cell>
          <cell r="H63">
            <v>1.2290015005006956E-2</v>
          </cell>
          <cell r="I63">
            <v>2.1367152461813357E-3</v>
          </cell>
          <cell r="J63">
            <v>9.2114583310871998E-4</v>
          </cell>
          <cell r="K63">
            <v>4.1641139026375937E-2</v>
          </cell>
          <cell r="L63"/>
          <cell r="M63"/>
          <cell r="N63"/>
          <cell r="O63"/>
          <cell r="P63"/>
          <cell r="Q63"/>
          <cell r="R63"/>
          <cell r="S63"/>
          <cell r="T63"/>
          <cell r="U63"/>
          <cell r="V63"/>
          <cell r="W63"/>
          <cell r="X63"/>
          <cell r="Y63"/>
          <cell r="Z63"/>
        </row>
        <row r="64">
          <cell r="A64"/>
          <cell r="B64"/>
          <cell r="C64"/>
          <cell r="D64"/>
          <cell r="E64" t="str">
            <v>GENERATION INTEGRATION</v>
          </cell>
          <cell r="F64" t="str">
            <v>NETWORK</v>
          </cell>
          <cell r="G64" t="str">
            <v>SOUTHERN INTERTIE</v>
          </cell>
          <cell r="H64" t="str">
            <v>EASTERN INTERTIE</v>
          </cell>
          <cell r="I64" t="str">
            <v>UTILITY DELIVERY</v>
          </cell>
          <cell r="J64" t="str">
            <v>DSI DELIVERY</v>
          </cell>
          <cell r="K64" t="str">
            <v>ANCILLARY SERVICES</v>
          </cell>
          <cell r="L64" t="str">
            <v>TOTAL</v>
          </cell>
          <cell r="M64"/>
          <cell r="N64"/>
          <cell r="O64"/>
          <cell r="P64"/>
          <cell r="Q64"/>
          <cell r="R64"/>
          <cell r="S64"/>
          <cell r="T64"/>
          <cell r="U64"/>
          <cell r="V64"/>
          <cell r="W64"/>
          <cell r="X64"/>
          <cell r="Y64"/>
          <cell r="Z64"/>
        </row>
        <row r="65">
          <cell r="A65"/>
          <cell r="B65">
            <v>2024</v>
          </cell>
          <cell r="C65"/>
          <cell r="D65"/>
          <cell r="E65"/>
          <cell r="F65"/>
          <cell r="G65"/>
          <cell r="H65"/>
          <cell r="I65"/>
          <cell r="J65"/>
          <cell r="K65"/>
          <cell r="L65"/>
          <cell r="M65"/>
          <cell r="N65"/>
          <cell r="O65"/>
          <cell r="P65"/>
          <cell r="Q65"/>
          <cell r="R65"/>
          <cell r="S65"/>
          <cell r="T65"/>
          <cell r="U65"/>
          <cell r="V65"/>
          <cell r="W65"/>
          <cell r="X65"/>
          <cell r="Y65"/>
          <cell r="Z65"/>
        </row>
        <row r="66">
          <cell r="A66"/>
          <cell r="B66" t="str">
            <v>NET TRANSMISSION PLANT</v>
          </cell>
          <cell r="C66"/>
          <cell r="D66"/>
          <cell r="E66">
            <v>87278.494407769234</v>
          </cell>
          <cell r="F66">
            <v>5291878.8175993869</v>
          </cell>
          <cell r="G66">
            <v>687088.03299930389</v>
          </cell>
          <cell r="H66">
            <v>69285.917018195469</v>
          </cell>
          <cell r="I66">
            <v>12188.192920878904</v>
          </cell>
          <cell r="J66">
            <v>5255.7672906089911</v>
          </cell>
          <cell r="K66">
            <v>306738.53569308517</v>
          </cell>
          <cell r="L66">
            <v>6459713.7579292282</v>
          </cell>
          <cell r="M66"/>
          <cell r="N66"/>
          <cell r="O66"/>
          <cell r="P66"/>
          <cell r="Q66"/>
          <cell r="R66"/>
          <cell r="S66"/>
          <cell r="T66"/>
          <cell r="U66"/>
          <cell r="V66"/>
          <cell r="W66"/>
          <cell r="X66"/>
          <cell r="Y66"/>
          <cell r="Z66"/>
        </row>
        <row r="67">
          <cell r="A67"/>
          <cell r="B67" t="str">
            <v>INTANGIBLE PLANT</v>
          </cell>
          <cell r="C67"/>
          <cell r="D67"/>
          <cell r="E67"/>
          <cell r="F67">
            <v>2893.1898130273444</v>
          </cell>
          <cell r="G67">
            <v>3875.9222669726587</v>
          </cell>
          <cell r="H67"/>
          <cell r="I67"/>
          <cell r="J67"/>
          <cell r="K67"/>
          <cell r="L67">
            <v>6769.1120800000026</v>
          </cell>
          <cell r="M67"/>
          <cell r="N67"/>
          <cell r="O67"/>
          <cell r="P67"/>
          <cell r="Q67"/>
          <cell r="R67"/>
          <cell r="S67"/>
          <cell r="T67"/>
          <cell r="U67"/>
          <cell r="V67"/>
          <cell r="W67"/>
          <cell r="X67"/>
          <cell r="Y67"/>
          <cell r="Z67"/>
        </row>
        <row r="68">
          <cell r="A68"/>
          <cell r="B68" t="str">
            <v>REGULATORY ASSET</v>
          </cell>
          <cell r="C68"/>
          <cell r="D68"/>
          <cell r="E68"/>
          <cell r="F68">
            <v>47398.556345833342</v>
          </cell>
          <cell r="G68"/>
          <cell r="H68"/>
          <cell r="I68"/>
          <cell r="J68"/>
          <cell r="K68"/>
          <cell r="L68">
            <v>47398.556345833342</v>
          </cell>
          <cell r="M68"/>
          <cell r="N68"/>
          <cell r="O68"/>
          <cell r="P68"/>
          <cell r="Q68"/>
          <cell r="R68"/>
          <cell r="S68"/>
          <cell r="T68"/>
          <cell r="U68"/>
          <cell r="V68"/>
          <cell r="W68"/>
          <cell r="X68"/>
          <cell r="Y68"/>
          <cell r="Z68"/>
        </row>
        <row r="69">
          <cell r="A69"/>
          <cell r="B69" t="str">
            <v>SUBTOTAL INVESTMENT</v>
          </cell>
          <cell r="C69"/>
          <cell r="D69"/>
          <cell r="E69">
            <v>87278.494407769234</v>
          </cell>
          <cell r="F69">
            <v>5342170.5637582475</v>
          </cell>
          <cell r="G69">
            <v>690963.95526627661</v>
          </cell>
          <cell r="H69">
            <v>69285.917018195469</v>
          </cell>
          <cell r="I69">
            <v>12188.192920878904</v>
          </cell>
          <cell r="J69">
            <v>5255.7672906089911</v>
          </cell>
          <cell r="K69">
            <v>306738.53569308517</v>
          </cell>
          <cell r="L69">
            <v>6513881.4263550621</v>
          </cell>
          <cell r="M69"/>
          <cell r="N69"/>
          <cell r="O69"/>
          <cell r="P69"/>
          <cell r="Q69"/>
          <cell r="R69"/>
          <cell r="S69"/>
          <cell r="T69"/>
          <cell r="U69"/>
          <cell r="V69"/>
          <cell r="W69"/>
          <cell r="X69"/>
          <cell r="Y69"/>
          <cell r="Z69"/>
        </row>
        <row r="70">
          <cell r="A70"/>
          <cell r="B70" t="str">
            <v>PERCENT</v>
          </cell>
          <cell r="C70"/>
          <cell r="D70"/>
          <cell r="E70">
            <v>1.3398846048170576E-2</v>
          </cell>
          <cell r="F70">
            <v>0.82012094081785236</v>
          </cell>
          <cell r="G70">
            <v>0.10607561145811578</v>
          </cell>
          <cell r="H70">
            <v>1.0636656162923957E-2</v>
          </cell>
          <cell r="I70">
            <v>1.871110651717679E-3</v>
          </cell>
          <cell r="J70">
            <v>8.0685645724901274E-4</v>
          </cell>
          <cell r="K70">
            <v>4.7089978403970612E-2</v>
          </cell>
          <cell r="L70">
            <v>1</v>
          </cell>
          <cell r="M70"/>
          <cell r="N70"/>
          <cell r="O70"/>
          <cell r="P70"/>
          <cell r="Q70"/>
          <cell r="R70"/>
          <cell r="S70"/>
          <cell r="T70"/>
          <cell r="U70"/>
          <cell r="V70"/>
          <cell r="W70"/>
          <cell r="X70"/>
          <cell r="Y70"/>
          <cell r="Z70"/>
        </row>
        <row r="71">
          <cell r="A71"/>
          <cell r="B71" t="str">
            <v>GENERAL PLANT</v>
          </cell>
          <cell r="C71"/>
          <cell r="D71"/>
          <cell r="E71">
            <v>10393.938703535081</v>
          </cell>
          <cell r="F71">
            <v>636195.59159799071</v>
          </cell>
          <cell r="G71">
            <v>82286.444629028018</v>
          </cell>
          <cell r="H71">
            <v>8251.2144531360773</v>
          </cell>
          <cell r="I71">
            <v>1451.483907760886</v>
          </cell>
          <cell r="J71">
            <v>625.9058824205805</v>
          </cell>
          <cell r="K71">
            <v>36529.291203289016</v>
          </cell>
          <cell r="L71">
            <v>775733.87037716038</v>
          </cell>
          <cell r="M71"/>
          <cell r="N71"/>
          <cell r="O71"/>
          <cell r="P71"/>
          <cell r="Q71"/>
          <cell r="R71"/>
          <cell r="S71"/>
          <cell r="T71"/>
          <cell r="U71"/>
          <cell r="V71"/>
          <cell r="W71"/>
          <cell r="X71"/>
          <cell r="Y71"/>
          <cell r="Z71"/>
        </row>
        <row r="72">
          <cell r="A72"/>
          <cell r="B72" t="str">
            <v>CUSTOMER FUNDED  PROJECTS (NET PLANT)</v>
          </cell>
          <cell r="C72"/>
          <cell r="D72"/>
          <cell r="E72"/>
          <cell r="F72">
            <v>-456112.46844855719</v>
          </cell>
          <cell r="G72"/>
          <cell r="H72"/>
          <cell r="I72"/>
          <cell r="J72"/>
          <cell r="K72"/>
          <cell r="L72">
            <v>-456112.46844855719</v>
          </cell>
          <cell r="M72"/>
          <cell r="N72"/>
          <cell r="O72"/>
          <cell r="P72"/>
          <cell r="Q72"/>
          <cell r="R72"/>
          <cell r="S72"/>
          <cell r="T72"/>
          <cell r="U72"/>
          <cell r="V72"/>
          <cell r="W72"/>
          <cell r="X72"/>
          <cell r="Y72"/>
          <cell r="Z72"/>
        </row>
        <row r="73">
          <cell r="A73"/>
          <cell r="B73" t="str">
            <v>ACC REV BAL ADJ - FIBER</v>
          </cell>
          <cell r="C73"/>
          <cell r="D73"/>
          <cell r="E73">
            <v>0</v>
          </cell>
          <cell r="F73">
            <v>0</v>
          </cell>
          <cell r="G73">
            <v>0</v>
          </cell>
          <cell r="H73">
            <v>0</v>
          </cell>
          <cell r="I73">
            <v>0</v>
          </cell>
          <cell r="J73">
            <v>0</v>
          </cell>
          <cell r="K73">
            <v>0</v>
          </cell>
          <cell r="L73">
            <v>0</v>
          </cell>
          <cell r="M73"/>
          <cell r="N73"/>
          <cell r="O73"/>
          <cell r="P73"/>
          <cell r="Q73"/>
          <cell r="R73"/>
          <cell r="S73"/>
          <cell r="T73"/>
          <cell r="U73"/>
          <cell r="V73"/>
          <cell r="W73"/>
          <cell r="X73"/>
          <cell r="Y73"/>
          <cell r="Z73"/>
        </row>
        <row r="74">
          <cell r="A74"/>
          <cell r="B74" t="str">
            <v>ACC REV BAL ADJ - 3AC</v>
          </cell>
          <cell r="C74"/>
          <cell r="D74"/>
          <cell r="E74"/>
          <cell r="F74"/>
          <cell r="G74">
            <v>-83874</v>
          </cell>
          <cell r="H74"/>
          <cell r="I74"/>
          <cell r="J74"/>
          <cell r="K74"/>
          <cell r="L74">
            <v>-83874</v>
          </cell>
          <cell r="M74"/>
          <cell r="N74"/>
          <cell r="O74"/>
          <cell r="P74"/>
          <cell r="Q74"/>
          <cell r="R74"/>
          <cell r="S74"/>
          <cell r="T74"/>
          <cell r="U74"/>
          <cell r="V74"/>
          <cell r="W74"/>
          <cell r="X74"/>
          <cell r="Y74"/>
          <cell r="Z74"/>
        </row>
        <row r="75">
          <cell r="A75"/>
          <cell r="B75" t="str">
            <v>INVESTMENT BASE</v>
          </cell>
          <cell r="C75"/>
          <cell r="D75"/>
          <cell r="E75">
            <v>97672.433111304315</v>
          </cell>
          <cell r="F75">
            <v>5522253.6869076816</v>
          </cell>
          <cell r="G75">
            <v>689376.39989530458</v>
          </cell>
          <cell r="H75">
            <v>77537.131471331551</v>
          </cell>
          <cell r="I75">
            <v>13639.676828639791</v>
          </cell>
          <cell r="J75">
            <v>5881.6731730295714</v>
          </cell>
          <cell r="K75">
            <v>343267.82689637417</v>
          </cell>
          <cell r="L75">
            <v>6749628.8282836657</v>
          </cell>
          <cell r="M75"/>
          <cell r="N75"/>
          <cell r="O75"/>
          <cell r="P75"/>
          <cell r="Q75"/>
          <cell r="R75"/>
          <cell r="S75"/>
          <cell r="T75"/>
          <cell r="U75"/>
          <cell r="V75"/>
          <cell r="W75"/>
          <cell r="X75"/>
          <cell r="Y75"/>
          <cell r="Z75"/>
        </row>
        <row r="76">
          <cell r="A76"/>
          <cell r="B76"/>
          <cell r="C76"/>
          <cell r="D76"/>
          <cell r="E76">
            <v>1.4470785815957381E-2</v>
          </cell>
          <cell r="F76">
            <v>0.81815664644657382</v>
          </cell>
          <cell r="G76">
            <v>0.10213545328693328</v>
          </cell>
          <cell r="H76">
            <v>1.1487614125745657E-2</v>
          </cell>
          <cell r="I76">
            <v>2.0208039842848908E-3</v>
          </cell>
          <cell r="J76">
            <v>8.7140690587058506E-4</v>
          </cell>
          <cell r="K76">
            <v>5.0857289434634328E-2</v>
          </cell>
          <cell r="L76"/>
          <cell r="M76"/>
          <cell r="N76"/>
          <cell r="O76"/>
          <cell r="P76"/>
          <cell r="Q76"/>
          <cell r="R76"/>
          <cell r="S76"/>
          <cell r="T76"/>
          <cell r="U76"/>
          <cell r="V76"/>
          <cell r="W76"/>
          <cell r="X76"/>
          <cell r="Y76"/>
          <cell r="Z76"/>
        </row>
        <row r="77">
          <cell r="A77"/>
          <cell r="B77"/>
          <cell r="C77"/>
          <cell r="D77"/>
          <cell r="E77" t="str">
            <v>GENERATION INTEGRATION</v>
          </cell>
          <cell r="F77" t="str">
            <v>NETWORK</v>
          </cell>
          <cell r="G77" t="str">
            <v>SOUTHERN INTERTIE</v>
          </cell>
          <cell r="H77" t="str">
            <v>EASTERN INTERTIE</v>
          </cell>
          <cell r="I77" t="str">
            <v>UTILITY DELIVERY</v>
          </cell>
          <cell r="J77" t="str">
            <v>DSI DELIVERY</v>
          </cell>
          <cell r="K77" t="str">
            <v>ANCILLARY SERVICES</v>
          </cell>
          <cell r="L77" t="str">
            <v>TOTAL</v>
          </cell>
          <cell r="M77"/>
          <cell r="N77"/>
          <cell r="O77"/>
          <cell r="P77"/>
          <cell r="Q77"/>
          <cell r="R77"/>
          <cell r="S77"/>
          <cell r="T77"/>
          <cell r="U77"/>
          <cell r="V77"/>
          <cell r="W77"/>
          <cell r="X77"/>
          <cell r="Y77"/>
          <cell r="Z77"/>
        </row>
        <row r="78">
          <cell r="A78"/>
          <cell r="B78">
            <v>2025</v>
          </cell>
          <cell r="C78"/>
          <cell r="D78"/>
          <cell r="E78"/>
          <cell r="F78"/>
          <cell r="G78"/>
          <cell r="H78"/>
          <cell r="I78"/>
          <cell r="J78"/>
          <cell r="K78"/>
          <cell r="L78"/>
          <cell r="M78"/>
          <cell r="N78"/>
          <cell r="O78"/>
          <cell r="P78"/>
          <cell r="Q78"/>
          <cell r="R78"/>
          <cell r="S78"/>
          <cell r="T78"/>
          <cell r="U78"/>
          <cell r="V78"/>
          <cell r="W78"/>
          <cell r="X78"/>
          <cell r="Y78"/>
          <cell r="Z78"/>
        </row>
        <row r="79">
          <cell r="A79"/>
          <cell r="B79" t="str">
            <v>NET TRANSMISSION PLANT</v>
          </cell>
          <cell r="C79"/>
          <cell r="D79"/>
          <cell r="E79">
            <v>83886.494407769234</v>
          </cell>
          <cell r="F79">
            <v>5496108.5541294273</v>
          </cell>
          <cell r="G79">
            <v>659800.03299930389</v>
          </cell>
          <cell r="H79">
            <v>65953.917018195469</v>
          </cell>
          <cell r="I79">
            <v>11751.192920878904</v>
          </cell>
          <cell r="J79">
            <v>5068.7672906089911</v>
          </cell>
          <cell r="K79">
            <v>355062.34698508948</v>
          </cell>
          <cell r="L79">
            <v>6677631.3057512734</v>
          </cell>
          <cell r="M79"/>
          <cell r="N79"/>
          <cell r="O79"/>
          <cell r="P79"/>
          <cell r="Q79"/>
          <cell r="R79"/>
          <cell r="S79"/>
          <cell r="T79"/>
          <cell r="U79"/>
          <cell r="V79"/>
          <cell r="W79"/>
          <cell r="X79"/>
          <cell r="Y79"/>
          <cell r="Z79"/>
        </row>
        <row r="80">
          <cell r="A80"/>
          <cell r="B80" t="str">
            <v>INTANGIBLE PLANT</v>
          </cell>
          <cell r="C80"/>
          <cell r="D80"/>
          <cell r="E80"/>
          <cell r="F80">
            <v>2708.9758726053701</v>
          </cell>
          <cell r="G80">
            <v>3629.1362073946329</v>
          </cell>
          <cell r="H80"/>
          <cell r="I80"/>
          <cell r="J80"/>
          <cell r="K80"/>
          <cell r="L80">
            <v>6338.1120800000026</v>
          </cell>
          <cell r="M80"/>
          <cell r="N80"/>
          <cell r="O80"/>
          <cell r="P80"/>
          <cell r="Q80"/>
          <cell r="R80"/>
          <cell r="S80"/>
          <cell r="T80"/>
          <cell r="U80"/>
          <cell r="V80"/>
          <cell r="W80"/>
          <cell r="X80"/>
          <cell r="Y80"/>
          <cell r="Z80"/>
        </row>
        <row r="81">
          <cell r="A81"/>
          <cell r="B81" t="str">
            <v>REGULATORY ASSET</v>
          </cell>
          <cell r="C81"/>
          <cell r="D81"/>
          <cell r="E81"/>
          <cell r="F81">
            <v>32130.606334833341</v>
          </cell>
          <cell r="G81"/>
          <cell r="H81"/>
          <cell r="I81"/>
          <cell r="J81"/>
          <cell r="K81"/>
          <cell r="L81">
            <v>32130.606334833341</v>
          </cell>
          <cell r="M81"/>
          <cell r="N81"/>
          <cell r="O81"/>
          <cell r="P81"/>
          <cell r="Q81"/>
          <cell r="R81"/>
          <cell r="S81"/>
          <cell r="T81"/>
          <cell r="U81"/>
          <cell r="V81"/>
          <cell r="W81"/>
          <cell r="X81"/>
          <cell r="Y81"/>
          <cell r="Z81"/>
        </row>
        <row r="82">
          <cell r="A82"/>
          <cell r="B82" t="str">
            <v>SUBTOTAL INVESTMENT</v>
          </cell>
          <cell r="C82"/>
          <cell r="D82"/>
          <cell r="E82">
            <v>83886.494407769234</v>
          </cell>
          <cell r="F82">
            <v>5530948.1363368658</v>
          </cell>
          <cell r="G82">
            <v>663429.16920669854</v>
          </cell>
          <cell r="H82">
            <v>65953.917018195469</v>
          </cell>
          <cell r="I82">
            <v>11751.192920878904</v>
          </cell>
          <cell r="J82">
            <v>5068.7672906089911</v>
          </cell>
          <cell r="K82">
            <v>355062.34698508948</v>
          </cell>
          <cell r="L82">
            <v>6716100.0241661072</v>
          </cell>
          <cell r="M82"/>
          <cell r="N82"/>
          <cell r="O82"/>
          <cell r="P82"/>
          <cell r="Q82"/>
          <cell r="R82"/>
          <cell r="S82"/>
          <cell r="T82"/>
          <cell r="U82"/>
          <cell r="V82"/>
          <cell r="W82"/>
          <cell r="X82"/>
          <cell r="Y82"/>
          <cell r="Z82"/>
        </row>
        <row r="83">
          <cell r="A83"/>
          <cell r="B83" t="str">
            <v>PERCENT</v>
          </cell>
          <cell r="C83"/>
          <cell r="D83"/>
          <cell r="E83">
            <v>1.2490358110499531E-2</v>
          </cell>
          <cell r="F83">
            <v>0.82353570024794354</v>
          </cell>
          <cell r="G83">
            <v>9.8781907181180212E-2</v>
          </cell>
          <cell r="H83">
            <v>9.8202702134985737E-3</v>
          </cell>
          <cell r="I83">
            <v>1.7497048701769404E-3</v>
          </cell>
          <cell r="J83">
            <v>7.5471885057851651E-4</v>
          </cell>
          <cell r="K83">
            <v>5.2867340526122547E-2</v>
          </cell>
          <cell r="L83">
            <v>0.99999999999999978</v>
          </cell>
          <cell r="M83"/>
          <cell r="N83"/>
          <cell r="O83"/>
          <cell r="P83"/>
          <cell r="Q83"/>
          <cell r="R83"/>
          <cell r="S83"/>
          <cell r="T83"/>
          <cell r="U83"/>
          <cell r="V83"/>
          <cell r="W83"/>
          <cell r="X83"/>
          <cell r="Y83"/>
          <cell r="Z83"/>
        </row>
        <row r="84">
          <cell r="A84"/>
          <cell r="B84" t="str">
            <v>GENERAL PLANT</v>
          </cell>
          <cell r="C84"/>
          <cell r="D84"/>
          <cell r="E84">
            <v>9884.4901947145227</v>
          </cell>
          <cell r="F84">
            <v>651721.15019307483</v>
          </cell>
          <cell r="G84">
            <v>78173.002271792036</v>
          </cell>
          <cell r="H84">
            <v>7771.4636983207884</v>
          </cell>
          <cell r="I84">
            <v>1384.6633122848493</v>
          </cell>
          <cell r="J84">
            <v>597.26158468095434</v>
          </cell>
          <cell r="K84">
            <v>41837.608211714665</v>
          </cell>
          <cell r="L84">
            <v>791369.6394665828</v>
          </cell>
          <cell r="M84"/>
          <cell r="N84"/>
          <cell r="O84"/>
          <cell r="P84"/>
          <cell r="Q84"/>
          <cell r="R84"/>
          <cell r="S84"/>
          <cell r="T84"/>
          <cell r="U84"/>
          <cell r="V84"/>
          <cell r="W84"/>
          <cell r="X84"/>
          <cell r="Y84"/>
          <cell r="Z84"/>
        </row>
        <row r="85">
          <cell r="A85"/>
          <cell r="B85" t="str">
            <v>CUSTOMER FUNDED  PROJECTS (NET PLANT)</v>
          </cell>
          <cell r="C85"/>
          <cell r="D85"/>
          <cell r="E85"/>
          <cell r="F85">
            <v>-472271.87006787828</v>
          </cell>
          <cell r="G85"/>
          <cell r="H85"/>
          <cell r="I85"/>
          <cell r="J85"/>
          <cell r="K85"/>
          <cell r="L85">
            <v>-472271.87006787828</v>
          </cell>
          <cell r="M85"/>
          <cell r="N85"/>
          <cell r="O85"/>
          <cell r="P85"/>
          <cell r="Q85"/>
          <cell r="R85"/>
          <cell r="S85"/>
          <cell r="T85"/>
          <cell r="U85"/>
          <cell r="V85"/>
          <cell r="W85"/>
          <cell r="X85"/>
          <cell r="Y85"/>
          <cell r="Z85"/>
        </row>
        <row r="86">
          <cell r="A86"/>
          <cell r="B86" t="str">
            <v>ACC REV BAL ADJ - FIBER</v>
          </cell>
          <cell r="C86"/>
          <cell r="D86"/>
          <cell r="E86">
            <v>0</v>
          </cell>
          <cell r="F86">
            <v>0</v>
          </cell>
          <cell r="G86">
            <v>0</v>
          </cell>
          <cell r="H86">
            <v>0</v>
          </cell>
          <cell r="I86">
            <v>0</v>
          </cell>
          <cell r="J86">
            <v>0</v>
          </cell>
          <cell r="K86">
            <v>0</v>
          </cell>
          <cell r="L86">
            <v>0</v>
          </cell>
          <cell r="M86"/>
          <cell r="N86"/>
          <cell r="O86"/>
          <cell r="P86"/>
          <cell r="Q86"/>
          <cell r="R86"/>
          <cell r="S86"/>
          <cell r="T86"/>
          <cell r="U86"/>
          <cell r="V86"/>
          <cell r="W86"/>
          <cell r="X86"/>
          <cell r="Y86"/>
          <cell r="Z86"/>
        </row>
        <row r="87">
          <cell r="A87"/>
          <cell r="B87" t="str">
            <v>ACC REV BAL ADJ - 3AC</v>
          </cell>
          <cell r="C87"/>
          <cell r="D87"/>
          <cell r="E87"/>
          <cell r="F87"/>
          <cell r="G87">
            <v>-80367</v>
          </cell>
          <cell r="H87"/>
          <cell r="I87"/>
          <cell r="J87"/>
          <cell r="K87"/>
          <cell r="L87">
            <v>-80367</v>
          </cell>
          <cell r="M87"/>
          <cell r="N87"/>
          <cell r="O87"/>
          <cell r="P87"/>
          <cell r="Q87"/>
          <cell r="R87"/>
          <cell r="S87"/>
          <cell r="T87"/>
          <cell r="U87"/>
          <cell r="V87"/>
          <cell r="W87"/>
          <cell r="X87"/>
          <cell r="Y87"/>
          <cell r="Z87"/>
        </row>
        <row r="88">
          <cell r="A88"/>
          <cell r="B88" t="str">
            <v>INVESTMENT BASE</v>
          </cell>
          <cell r="C88"/>
          <cell r="D88"/>
          <cell r="E88">
            <v>93770.984602483761</v>
          </cell>
          <cell r="F88">
            <v>5710397.4164620619</v>
          </cell>
          <cell r="G88">
            <v>661235.17147849058</v>
          </cell>
          <cell r="H88">
            <v>73725.380716516258</v>
          </cell>
          <cell r="I88">
            <v>13135.856233163753</v>
          </cell>
          <cell r="J88">
            <v>5666.0288752899451</v>
          </cell>
          <cell r="K88">
            <v>396899.95519680413</v>
          </cell>
          <cell r="L88">
            <v>6954830.7935648104</v>
          </cell>
          <cell r="M88"/>
          <cell r="N88"/>
          <cell r="O88"/>
          <cell r="P88"/>
          <cell r="Q88"/>
          <cell r="R88"/>
          <cell r="S88"/>
          <cell r="T88"/>
          <cell r="U88"/>
          <cell r="V88"/>
          <cell r="W88"/>
          <cell r="X88"/>
          <cell r="Y88"/>
          <cell r="Z88"/>
        </row>
        <row r="89">
          <cell r="B89"/>
          <cell r="C89"/>
          <cell r="D89"/>
          <cell r="E89">
            <v>1.3482856360682204E-2</v>
          </cell>
          <cell r="F89">
            <v>0.82106920872119538</v>
          </cell>
          <cell r="G89">
            <v>9.5075666267872477E-2</v>
          </cell>
          <cell r="H89">
            <v>1.0600600202198036E-2</v>
          </cell>
          <cell r="I89">
            <v>1.8887384356378796E-3</v>
          </cell>
          <cell r="J89">
            <v>8.1468968023386387E-4</v>
          </cell>
          <cell r="K89">
            <v>5.7068240332180199E-2</v>
          </cell>
          <cell r="L89"/>
          <cell r="M89"/>
          <cell r="N89"/>
          <cell r="O89"/>
          <cell r="P89"/>
          <cell r="Q89"/>
          <cell r="R89"/>
          <cell r="S89"/>
          <cell r="T89"/>
          <cell r="U89"/>
          <cell r="V89"/>
          <cell r="W89"/>
          <cell r="X89"/>
          <cell r="Y89"/>
          <cell r="Z89"/>
        </row>
        <row r="90">
          <cell r="A90"/>
          <cell r="B90"/>
          <cell r="C90"/>
          <cell r="D90"/>
          <cell r="E90" t="str">
            <v>GENERATION INTEGRATION</v>
          </cell>
          <cell r="F90" t="str">
            <v>NETWORK</v>
          </cell>
          <cell r="G90" t="str">
            <v>SOUTHERN INTERTIE</v>
          </cell>
          <cell r="H90" t="str">
            <v>EASTERN INTERTIE</v>
          </cell>
          <cell r="I90" t="str">
            <v>UTILITY DELIVERY</v>
          </cell>
          <cell r="J90" t="str">
            <v>DSI DELIVERY</v>
          </cell>
          <cell r="K90" t="str">
            <v>ANCILLARY SERVICES</v>
          </cell>
          <cell r="L90" t="str">
            <v>TOTAL</v>
          </cell>
          <cell r="M90"/>
          <cell r="N90"/>
          <cell r="O90"/>
          <cell r="P90"/>
          <cell r="Q90"/>
          <cell r="R90"/>
          <cell r="S90"/>
          <cell r="T90"/>
          <cell r="U90"/>
          <cell r="V90"/>
          <cell r="W90"/>
          <cell r="X90"/>
          <cell r="Y90"/>
          <cell r="Z90"/>
        </row>
        <row r="91">
          <cell r="A91"/>
          <cell r="B91">
            <v>2026</v>
          </cell>
          <cell r="C91"/>
          <cell r="D91"/>
          <cell r="E91"/>
          <cell r="F91"/>
          <cell r="G91"/>
          <cell r="H91"/>
          <cell r="I91"/>
          <cell r="J91"/>
          <cell r="K91"/>
          <cell r="L91"/>
          <cell r="M91"/>
          <cell r="N91"/>
          <cell r="O91"/>
          <cell r="P91"/>
          <cell r="Q91"/>
          <cell r="R91"/>
          <cell r="S91"/>
          <cell r="T91"/>
          <cell r="U91"/>
          <cell r="V91"/>
          <cell r="W91"/>
          <cell r="X91"/>
          <cell r="Y91"/>
          <cell r="Z91"/>
        </row>
        <row r="92">
          <cell r="A92"/>
          <cell r="B92" t="str">
            <v>NET TRANSMISSION PLANT</v>
          </cell>
          <cell r="C92"/>
          <cell r="D92"/>
          <cell r="E92">
            <v>80494.494407769234</v>
          </cell>
          <cell r="F92">
            <v>5721776.9416245511</v>
          </cell>
          <cell r="G92">
            <v>632512.03299930389</v>
          </cell>
          <cell r="H92">
            <v>62621.917018195461</v>
          </cell>
          <cell r="I92">
            <v>11314.192920878904</v>
          </cell>
          <cell r="J92">
            <v>4881.7672906089911</v>
          </cell>
          <cell r="K92">
            <v>395009.15632127598</v>
          </cell>
          <cell r="L92">
            <v>6908610.5025825836</v>
          </cell>
          <cell r="M92"/>
          <cell r="N92"/>
          <cell r="O92"/>
          <cell r="P92"/>
          <cell r="Q92"/>
          <cell r="R92"/>
          <cell r="S92"/>
          <cell r="T92"/>
          <cell r="U92"/>
          <cell r="V92"/>
          <cell r="W92"/>
          <cell r="X92"/>
          <cell r="Y92"/>
          <cell r="Z92"/>
        </row>
        <row r="93">
          <cell r="A93"/>
          <cell r="B93" t="str">
            <v>INTANGIBLE PLANT</v>
          </cell>
          <cell r="C93"/>
          <cell r="D93"/>
          <cell r="E93"/>
          <cell r="F93">
            <v>2524.7619321833963</v>
          </cell>
          <cell r="G93">
            <v>3382.3501478166067</v>
          </cell>
          <cell r="H93"/>
          <cell r="I93"/>
          <cell r="J93"/>
          <cell r="K93"/>
          <cell r="L93">
            <v>5907.1120800000026</v>
          </cell>
          <cell r="M93"/>
          <cell r="N93"/>
          <cell r="O93"/>
          <cell r="P93"/>
          <cell r="Q93"/>
          <cell r="R93"/>
          <cell r="S93"/>
          <cell r="T93"/>
          <cell r="U93"/>
          <cell r="V93"/>
          <cell r="W93"/>
          <cell r="X93"/>
          <cell r="Y93"/>
          <cell r="Z93"/>
        </row>
        <row r="94">
          <cell r="A94"/>
          <cell r="B94" t="str">
            <v>REGULATORY ASSET</v>
          </cell>
          <cell r="C94"/>
          <cell r="D94"/>
          <cell r="E94"/>
          <cell r="F94">
            <v>29863.990508833343</v>
          </cell>
          <cell r="G94"/>
          <cell r="H94"/>
          <cell r="I94"/>
          <cell r="J94"/>
          <cell r="K94"/>
          <cell r="L94">
            <v>29863.990508833343</v>
          </cell>
          <cell r="M94"/>
          <cell r="N94"/>
          <cell r="O94"/>
          <cell r="P94"/>
          <cell r="Q94"/>
          <cell r="R94"/>
          <cell r="S94"/>
          <cell r="T94"/>
          <cell r="U94"/>
          <cell r="V94"/>
          <cell r="W94"/>
          <cell r="X94"/>
          <cell r="Y94"/>
          <cell r="Z94"/>
        </row>
        <row r="95">
          <cell r="A95"/>
          <cell r="B95" t="str">
            <v>SUBTOTAL INVESTMENT</v>
          </cell>
          <cell r="C95"/>
          <cell r="D95"/>
          <cell r="E95">
            <v>80494.494407769234</v>
          </cell>
          <cell r="F95">
            <v>5754165.6940655671</v>
          </cell>
          <cell r="G95">
            <v>635894.38314712048</v>
          </cell>
          <cell r="H95">
            <v>62621.917018195461</v>
          </cell>
          <cell r="I95">
            <v>11314.192920878904</v>
          </cell>
          <cell r="J95">
            <v>4881.7672906089911</v>
          </cell>
          <cell r="K95">
            <v>395009.15632127598</v>
          </cell>
          <cell r="L95">
            <v>6944381.6051714169</v>
          </cell>
          <cell r="M95"/>
          <cell r="N95"/>
          <cell r="O95"/>
          <cell r="P95"/>
          <cell r="Q95"/>
          <cell r="R95"/>
          <cell r="S95"/>
          <cell r="T95"/>
          <cell r="U95"/>
          <cell r="V95"/>
          <cell r="W95"/>
          <cell r="X95"/>
          <cell r="Y95"/>
          <cell r="Z95"/>
        </row>
        <row r="96">
          <cell r="A96"/>
          <cell r="B96" t="str">
            <v>PERCENT</v>
          </cell>
          <cell r="C96"/>
          <cell r="D96"/>
          <cell r="E96">
            <v>1.1591312082824729E-2</v>
          </cell>
          <cell r="F96">
            <v>0.82860735789353701</v>
          </cell>
          <cell r="G96">
            <v>9.1569619773426023E-2</v>
          </cell>
          <cell r="H96">
            <v>9.0176376499185324E-3</v>
          </cell>
          <cell r="I96">
            <v>1.629258523531214E-3</v>
          </cell>
          <cell r="J96">
            <v>7.0298085101970552E-4</v>
          </cell>
          <cell r="K96">
            <v>5.6881833225742709E-2</v>
          </cell>
          <cell r="L96">
            <v>1</v>
          </cell>
          <cell r="M96"/>
          <cell r="N96"/>
          <cell r="O96"/>
          <cell r="P96"/>
          <cell r="Q96"/>
          <cell r="R96"/>
          <cell r="S96"/>
          <cell r="T96"/>
          <cell r="U96"/>
          <cell r="V96"/>
          <cell r="W96"/>
          <cell r="X96"/>
          <cell r="Y96"/>
          <cell r="Z96"/>
        </row>
        <row r="97">
          <cell r="A97"/>
          <cell r="B97" t="str">
            <v>GENERAL PLANT</v>
          </cell>
          <cell r="C97"/>
          <cell r="D97"/>
          <cell r="E97">
            <v>9298.4400541823725</v>
          </cell>
          <cell r="F97">
            <v>664700.92348250293</v>
          </cell>
          <cell r="G97">
            <v>73456.276059472686</v>
          </cell>
          <cell r="H97">
            <v>7233.8629586506459</v>
          </cell>
          <cell r="I97">
            <v>1306.9756560405558</v>
          </cell>
          <cell r="J97">
            <v>563.92453725151597</v>
          </cell>
          <cell r="K97">
            <v>45630.064365644714</v>
          </cell>
          <cell r="L97">
            <v>802190.46711374552</v>
          </cell>
          <cell r="M97"/>
          <cell r="N97"/>
          <cell r="O97"/>
          <cell r="P97"/>
          <cell r="Q97"/>
          <cell r="R97"/>
          <cell r="S97"/>
          <cell r="T97"/>
          <cell r="U97"/>
          <cell r="V97"/>
          <cell r="W97"/>
          <cell r="X97"/>
          <cell r="Y97"/>
          <cell r="Z97"/>
        </row>
        <row r="98">
          <cell r="A98"/>
          <cell r="B98" t="str">
            <v>CUSTOMER FUNDED  PROJECTS (NET PLANT)</v>
          </cell>
          <cell r="C98"/>
          <cell r="D98"/>
          <cell r="E98"/>
          <cell r="F98">
            <v>-482991.2067203598</v>
          </cell>
          <cell r="G98"/>
          <cell r="H98"/>
          <cell r="I98"/>
          <cell r="J98"/>
          <cell r="K98"/>
          <cell r="L98">
            <v>-482991.2067203598</v>
          </cell>
          <cell r="M98"/>
          <cell r="N98"/>
          <cell r="O98"/>
          <cell r="P98"/>
          <cell r="Q98"/>
          <cell r="R98"/>
          <cell r="S98"/>
          <cell r="T98"/>
          <cell r="U98"/>
          <cell r="V98"/>
          <cell r="W98"/>
          <cell r="X98"/>
          <cell r="Y98"/>
          <cell r="Z98"/>
        </row>
        <row r="99">
          <cell r="A99"/>
          <cell r="B99" t="str">
            <v>ACC REV BAL ADJ - FIBER</v>
          </cell>
          <cell r="C99"/>
          <cell r="D99"/>
          <cell r="E99">
            <v>0</v>
          </cell>
          <cell r="F99">
            <v>0</v>
          </cell>
          <cell r="G99">
            <v>0</v>
          </cell>
          <cell r="H99">
            <v>0</v>
          </cell>
          <cell r="I99">
            <v>0</v>
          </cell>
          <cell r="J99">
            <v>0</v>
          </cell>
          <cell r="K99">
            <v>0</v>
          </cell>
          <cell r="L99">
            <v>0</v>
          </cell>
          <cell r="M99"/>
          <cell r="N99"/>
          <cell r="O99"/>
          <cell r="P99"/>
          <cell r="Q99"/>
          <cell r="R99"/>
          <cell r="S99"/>
          <cell r="T99"/>
          <cell r="U99"/>
          <cell r="V99"/>
          <cell r="W99"/>
          <cell r="X99"/>
          <cell r="Y99"/>
          <cell r="Z99"/>
        </row>
        <row r="100">
          <cell r="A100"/>
          <cell r="B100" t="str">
            <v>ACC REV BAL ADJ - 3AC</v>
          </cell>
          <cell r="C100"/>
          <cell r="D100"/>
          <cell r="E100"/>
          <cell r="F100"/>
          <cell r="G100">
            <v>-76860</v>
          </cell>
          <cell r="H100"/>
          <cell r="I100"/>
          <cell r="J100"/>
          <cell r="K100"/>
          <cell r="L100">
            <v>-76860</v>
          </cell>
          <cell r="M100"/>
          <cell r="N100"/>
          <cell r="O100"/>
          <cell r="P100"/>
          <cell r="Q100"/>
          <cell r="R100"/>
          <cell r="S100"/>
          <cell r="T100"/>
          <cell r="U100"/>
          <cell r="V100"/>
          <cell r="W100"/>
          <cell r="X100"/>
          <cell r="Y100"/>
          <cell r="Z100"/>
        </row>
        <row r="101">
          <cell r="A101"/>
          <cell r="B101" t="str">
            <v>INVESTMENT BASE</v>
          </cell>
          <cell r="C101"/>
          <cell r="D101"/>
          <cell r="E101">
            <v>89792.934461951605</v>
          </cell>
          <cell r="F101">
            <v>5935875.4108277103</v>
          </cell>
          <cell r="G101">
            <v>632490.65920659318</v>
          </cell>
          <cell r="H101">
            <v>69855.779976846112</v>
          </cell>
          <cell r="I101">
            <v>12621.168576919459</v>
          </cell>
          <cell r="J101">
            <v>5445.6918278605071</v>
          </cell>
          <cell r="K101">
            <v>440639.22068692069</v>
          </cell>
          <cell r="L101">
            <v>7186720.8655648017</v>
          </cell>
          <cell r="M101"/>
          <cell r="N101"/>
          <cell r="O101"/>
          <cell r="P101"/>
          <cell r="Q101"/>
          <cell r="R101"/>
          <cell r="S101"/>
          <cell r="T101"/>
          <cell r="U101"/>
          <cell r="V101"/>
          <cell r="W101"/>
          <cell r="X101"/>
          <cell r="Y101"/>
          <cell r="Z101"/>
        </row>
        <row r="102">
          <cell r="A102"/>
          <cell r="B102"/>
          <cell r="C102"/>
          <cell r="D102"/>
          <cell r="E102">
            <v>1.2494284408929079E-2</v>
          </cell>
          <cell r="F102">
            <v>0.82595046083805457</v>
          </cell>
          <cell r="G102">
            <v>8.8008240620165781E-2</v>
          </cell>
          <cell r="H102">
            <v>9.7201187138852615E-3</v>
          </cell>
          <cell r="I102">
            <v>1.7561790436851155E-3</v>
          </cell>
          <cell r="J102">
            <v>7.5774361210459126E-4</v>
          </cell>
          <cell r="K102">
            <v>6.1312972763175634E-2</v>
          </cell>
          <cell r="L102"/>
          <cell r="M102"/>
          <cell r="N102"/>
          <cell r="O102"/>
          <cell r="P102"/>
          <cell r="Q102"/>
          <cell r="R102"/>
          <cell r="S102"/>
          <cell r="T102"/>
          <cell r="U102"/>
          <cell r="V102"/>
          <cell r="W102"/>
          <cell r="X102"/>
          <cell r="Y102"/>
          <cell r="Z102"/>
        </row>
        <row r="103">
          <cell r="A103"/>
          <cell r="B103"/>
          <cell r="C103"/>
          <cell r="D103"/>
          <cell r="E103" t="str">
            <v>GENERATION INTEGRATION</v>
          </cell>
          <cell r="F103" t="str">
            <v>NETWORK</v>
          </cell>
          <cell r="G103" t="str">
            <v>SOUTHERN INTERTIE</v>
          </cell>
          <cell r="H103" t="str">
            <v>EASTERN INTERTIE</v>
          </cell>
          <cell r="I103" t="str">
            <v>UTILITY DELIVERY</v>
          </cell>
          <cell r="J103" t="str">
            <v>DSI DELIVERY</v>
          </cell>
          <cell r="K103" t="str">
            <v>ANCILLARY SERVICES</v>
          </cell>
          <cell r="L103" t="str">
            <v>TOTAL</v>
          </cell>
          <cell r="M103"/>
          <cell r="N103"/>
          <cell r="O103"/>
          <cell r="P103"/>
          <cell r="Q103"/>
          <cell r="R103"/>
          <cell r="S103"/>
          <cell r="T103"/>
          <cell r="U103"/>
          <cell r="V103"/>
          <cell r="W103"/>
          <cell r="X103"/>
          <cell r="Y103"/>
          <cell r="Z103"/>
        </row>
        <row r="104">
          <cell r="A104"/>
          <cell r="B104">
            <v>2027</v>
          </cell>
          <cell r="C104"/>
          <cell r="D104"/>
          <cell r="E104"/>
          <cell r="F104"/>
          <cell r="G104"/>
          <cell r="H104"/>
          <cell r="I104"/>
          <cell r="J104"/>
          <cell r="K104"/>
          <cell r="L104"/>
          <cell r="M104"/>
          <cell r="N104"/>
          <cell r="O104"/>
          <cell r="P104"/>
          <cell r="Q104"/>
          <cell r="R104"/>
          <cell r="S104"/>
          <cell r="T104"/>
          <cell r="U104"/>
          <cell r="V104"/>
          <cell r="W104"/>
          <cell r="X104"/>
          <cell r="Y104"/>
          <cell r="Z104"/>
        </row>
        <row r="105">
          <cell r="A105"/>
          <cell r="B105" t="str">
            <v>NET TRANSMISSION PLANT</v>
          </cell>
          <cell r="C105"/>
          <cell r="D105"/>
          <cell r="E105">
            <v>77102.494407769234</v>
          </cell>
          <cell r="F105">
            <v>5880464.3701952752</v>
          </cell>
          <cell r="G105">
            <v>605418.1867083594</v>
          </cell>
          <cell r="H105">
            <v>59289.917018195469</v>
          </cell>
          <cell r="I105">
            <v>10877.192920878904</v>
          </cell>
          <cell r="J105">
            <v>4694.7672906089911</v>
          </cell>
          <cell r="K105">
            <v>440023.68217824085</v>
          </cell>
          <cell r="L105">
            <v>7077870.6107193278</v>
          </cell>
          <cell r="M105"/>
          <cell r="N105"/>
          <cell r="O105"/>
          <cell r="P105"/>
          <cell r="Q105"/>
          <cell r="R105"/>
          <cell r="S105"/>
          <cell r="T105"/>
          <cell r="U105"/>
          <cell r="V105"/>
          <cell r="W105"/>
          <cell r="X105"/>
          <cell r="Y105"/>
          <cell r="Z105"/>
        </row>
        <row r="106">
          <cell r="A106"/>
          <cell r="B106" t="str">
            <v>INTANGIBLE PLANT</v>
          </cell>
          <cell r="C106"/>
          <cell r="D106"/>
          <cell r="E106"/>
          <cell r="F106">
            <v>2340.5479917614221</v>
          </cell>
          <cell r="G106">
            <v>3135.564088238581</v>
          </cell>
          <cell r="H106"/>
          <cell r="I106"/>
          <cell r="J106"/>
          <cell r="K106"/>
          <cell r="L106">
            <v>5476.1120800000026</v>
          </cell>
          <cell r="M106"/>
          <cell r="N106"/>
          <cell r="O106"/>
          <cell r="P106"/>
          <cell r="Q106"/>
          <cell r="R106"/>
          <cell r="S106"/>
          <cell r="T106"/>
          <cell r="U106"/>
          <cell r="V106"/>
          <cell r="W106"/>
          <cell r="X106"/>
          <cell r="Y106"/>
          <cell r="Z106"/>
        </row>
        <row r="107">
          <cell r="A107"/>
          <cell r="B107" t="str">
            <v>REGULATORY ASSET</v>
          </cell>
          <cell r="C107"/>
          <cell r="D107"/>
          <cell r="E107"/>
          <cell r="F107">
            <v>27597.374682833342</v>
          </cell>
          <cell r="G107"/>
          <cell r="H107"/>
          <cell r="I107"/>
          <cell r="J107"/>
          <cell r="K107"/>
          <cell r="L107">
            <v>27597.374682833342</v>
          </cell>
          <cell r="M107"/>
          <cell r="N107"/>
          <cell r="O107"/>
          <cell r="P107"/>
          <cell r="Q107"/>
          <cell r="R107"/>
          <cell r="S107"/>
          <cell r="T107"/>
          <cell r="U107"/>
          <cell r="V107"/>
          <cell r="W107"/>
          <cell r="X107"/>
          <cell r="Y107"/>
          <cell r="Z107"/>
        </row>
        <row r="108">
          <cell r="A108"/>
          <cell r="B108" t="str">
            <v>SUBTOTAL INVESTMENT</v>
          </cell>
          <cell r="C108"/>
          <cell r="D108"/>
          <cell r="E108">
            <v>77102.494407769234</v>
          </cell>
          <cell r="F108">
            <v>5910402.2928698696</v>
          </cell>
          <cell r="G108">
            <v>608553.75079659803</v>
          </cell>
          <cell r="H108">
            <v>59289.917018195469</v>
          </cell>
          <cell r="I108">
            <v>10877.192920878904</v>
          </cell>
          <cell r="J108">
            <v>4694.7672906089911</v>
          </cell>
          <cell r="K108">
            <v>440023.68217824085</v>
          </cell>
          <cell r="L108">
            <v>7110944.0974821616</v>
          </cell>
          <cell r="M108"/>
          <cell r="N108"/>
          <cell r="O108"/>
          <cell r="P108"/>
          <cell r="Q108"/>
          <cell r="R108"/>
          <cell r="S108"/>
          <cell r="T108"/>
          <cell r="U108"/>
          <cell r="V108"/>
          <cell r="W108"/>
          <cell r="X108"/>
          <cell r="Y108"/>
          <cell r="Z108"/>
        </row>
        <row r="109">
          <cell r="A109"/>
          <cell r="B109" t="str">
            <v>PERCENT</v>
          </cell>
          <cell r="C109"/>
          <cell r="D109"/>
          <cell r="E109">
            <v>1.084279293308882E-2</v>
          </cell>
          <cell r="F109">
            <v>0.83116984353211565</v>
          </cell>
          <cell r="G109">
            <v>8.5579881159813131E-2</v>
          </cell>
          <cell r="H109">
            <v>8.3378404056345772E-3</v>
          </cell>
          <cell r="I109">
            <v>1.5296411800973506E-3</v>
          </cell>
          <cell r="J109">
            <v>6.602171562945223E-4</v>
          </cell>
          <cell r="K109">
            <v>6.1879783632955876E-2</v>
          </cell>
          <cell r="L109">
            <v>1</v>
          </cell>
          <cell r="M109"/>
          <cell r="N109"/>
          <cell r="O109"/>
          <cell r="P109"/>
          <cell r="Q109"/>
          <cell r="R109"/>
          <cell r="S109"/>
          <cell r="T109"/>
          <cell r="U109"/>
          <cell r="V109"/>
          <cell r="W109"/>
          <cell r="X109"/>
          <cell r="Y109"/>
          <cell r="Z109"/>
        </row>
        <row r="110">
          <cell r="A110"/>
          <cell r="B110" t="str">
            <v>GENERAL PLANT</v>
          </cell>
          <cell r="C110"/>
          <cell r="D110"/>
          <cell r="E110">
            <v>8654.2404447355966</v>
          </cell>
          <cell r="F110">
            <v>663403.21361196181</v>
          </cell>
          <cell r="G110">
            <v>68306.097272110812</v>
          </cell>
          <cell r="H110">
            <v>6654.8975070796287</v>
          </cell>
          <cell r="I110">
            <v>1220.8923151463764</v>
          </cell>
          <cell r="J110">
            <v>526.95629729089592</v>
          </cell>
          <cell r="K110">
            <v>49389.721774872865</v>
          </cell>
          <cell r="L110">
            <v>798156.01922319806</v>
          </cell>
          <cell r="M110"/>
          <cell r="N110"/>
          <cell r="O110"/>
          <cell r="P110"/>
          <cell r="Q110"/>
          <cell r="R110"/>
          <cell r="S110"/>
          <cell r="T110"/>
          <cell r="U110"/>
          <cell r="V110"/>
          <cell r="W110"/>
          <cell r="X110"/>
          <cell r="Y110"/>
          <cell r="Z110"/>
        </row>
        <row r="111">
          <cell r="A111"/>
          <cell r="B111" t="str">
            <v>CUSTOMER FUNDED  PROJECTS (NET PLANT)</v>
          </cell>
          <cell r="C111"/>
          <cell r="D111"/>
          <cell r="E111"/>
          <cell r="F111">
            <v>-493333.34482983587</v>
          </cell>
          <cell r="G111"/>
          <cell r="H111"/>
          <cell r="I111"/>
          <cell r="J111"/>
          <cell r="K111"/>
          <cell r="L111">
            <v>-493333.34482983587</v>
          </cell>
          <cell r="M111"/>
          <cell r="N111"/>
          <cell r="O111"/>
          <cell r="P111"/>
          <cell r="Q111"/>
          <cell r="R111"/>
          <cell r="S111"/>
          <cell r="T111"/>
          <cell r="U111"/>
          <cell r="V111"/>
          <cell r="W111"/>
          <cell r="X111"/>
          <cell r="Y111"/>
          <cell r="Z111"/>
        </row>
        <row r="112">
          <cell r="A112"/>
          <cell r="B112" t="str">
            <v>ACC REV BAL ADJ - FIBER</v>
          </cell>
          <cell r="C112"/>
          <cell r="D112"/>
          <cell r="E112">
            <v>0</v>
          </cell>
          <cell r="F112">
            <v>0</v>
          </cell>
          <cell r="G112">
            <v>0</v>
          </cell>
          <cell r="H112">
            <v>0</v>
          </cell>
          <cell r="I112">
            <v>0</v>
          </cell>
          <cell r="J112">
            <v>0</v>
          </cell>
          <cell r="K112">
            <v>0</v>
          </cell>
          <cell r="L112">
            <v>0</v>
          </cell>
          <cell r="M112"/>
          <cell r="N112"/>
          <cell r="O112"/>
          <cell r="P112"/>
          <cell r="Q112"/>
          <cell r="R112"/>
          <cell r="S112"/>
          <cell r="T112"/>
          <cell r="U112"/>
          <cell r="V112"/>
          <cell r="W112"/>
          <cell r="X112"/>
          <cell r="Y112"/>
          <cell r="Z112"/>
        </row>
        <row r="113">
          <cell r="A113"/>
          <cell r="B113" t="str">
            <v>ACC REV BAL ADJ - 3AC</v>
          </cell>
          <cell r="C113"/>
          <cell r="D113"/>
          <cell r="E113"/>
          <cell r="F113"/>
          <cell r="G113">
            <v>-73353</v>
          </cell>
          <cell r="H113"/>
          <cell r="I113"/>
          <cell r="J113"/>
          <cell r="K113"/>
          <cell r="L113">
            <v>-73353</v>
          </cell>
          <cell r="M113"/>
          <cell r="N113"/>
          <cell r="O113"/>
          <cell r="P113"/>
          <cell r="Q113"/>
          <cell r="R113"/>
          <cell r="S113"/>
          <cell r="T113"/>
          <cell r="U113"/>
          <cell r="V113"/>
          <cell r="W113"/>
          <cell r="X113"/>
          <cell r="Y113"/>
          <cell r="Z113"/>
        </row>
        <row r="114">
          <cell r="A114"/>
          <cell r="B114" t="str">
            <v>INVESTMENT BASE</v>
          </cell>
          <cell r="C114"/>
          <cell r="D114"/>
          <cell r="E114">
            <v>85756.734852504829</v>
          </cell>
          <cell r="F114">
            <v>6080472.161651996</v>
          </cell>
          <cell r="G114">
            <v>603506.84806870879</v>
          </cell>
          <cell r="H114">
            <v>65944.814525275098</v>
          </cell>
          <cell r="I114">
            <v>12098.085236025281</v>
          </cell>
          <cell r="J114">
            <v>5221.7235878998872</v>
          </cell>
          <cell r="K114">
            <v>489413.40395311371</v>
          </cell>
          <cell r="L114">
            <v>7342413.771875523</v>
          </cell>
          <cell r="M114"/>
          <cell r="N114"/>
          <cell r="O114"/>
          <cell r="P114"/>
          <cell r="Q114"/>
          <cell r="R114"/>
          <cell r="S114"/>
          <cell r="T114"/>
          <cell r="U114"/>
          <cell r="V114"/>
          <cell r="W114"/>
          <cell r="X114"/>
          <cell r="Y114"/>
          <cell r="Z114"/>
        </row>
        <row r="115">
          <cell r="A115"/>
          <cell r="B115"/>
          <cell r="C115"/>
          <cell r="D115"/>
          <cell r="E115">
            <v>1.1679637993297047E-2</v>
          </cell>
          <cell r="F115">
            <v>0.8281298698995575</v>
          </cell>
          <cell r="G115">
            <v>8.2194611584052821E-2</v>
          </cell>
          <cell r="H115">
            <v>8.9813536221386714E-3</v>
          </cell>
          <cell r="I115">
            <v>1.6476986467809734E-3</v>
          </cell>
          <cell r="J115">
            <v>7.1117261300381149E-4</v>
          </cell>
          <cell r="K115">
            <v>6.6655655641169279E-2</v>
          </cell>
          <cell r="L115"/>
          <cell r="M115"/>
          <cell r="N115"/>
          <cell r="O115"/>
          <cell r="P115"/>
          <cell r="Q115"/>
          <cell r="R115"/>
          <cell r="S115"/>
          <cell r="T115"/>
          <cell r="U115"/>
          <cell r="V115"/>
          <cell r="W115"/>
          <cell r="X115"/>
          <cell r="Y115"/>
          <cell r="Z115"/>
        </row>
        <row r="116">
          <cell r="A116"/>
          <cell r="B116"/>
          <cell r="C116"/>
          <cell r="D116"/>
          <cell r="E116" t="str">
            <v>GENERATION INTEGRATION</v>
          </cell>
          <cell r="F116" t="str">
            <v>NETWORK</v>
          </cell>
          <cell r="G116" t="str">
            <v>SOUTHERN INTERTIE</v>
          </cell>
          <cell r="H116" t="str">
            <v>EASTERN INTERTIE</v>
          </cell>
          <cell r="I116" t="str">
            <v>UTILITY DELIVERY</v>
          </cell>
          <cell r="J116" t="str">
            <v>DSI DELIVERY</v>
          </cell>
          <cell r="K116" t="str">
            <v>ANCILLARY SERVICES</v>
          </cell>
          <cell r="L116" t="str">
            <v>TOTAL</v>
          </cell>
          <cell r="M116"/>
          <cell r="N116"/>
          <cell r="O116"/>
          <cell r="P116"/>
          <cell r="Q116"/>
          <cell r="R116"/>
          <cell r="S116"/>
          <cell r="T116"/>
          <cell r="U116"/>
          <cell r="V116"/>
          <cell r="W116"/>
          <cell r="X116"/>
          <cell r="Y116"/>
          <cell r="Z116"/>
        </row>
        <row r="117">
          <cell r="A117"/>
          <cell r="B117">
            <v>2028</v>
          </cell>
          <cell r="C117"/>
          <cell r="D117"/>
          <cell r="E117"/>
          <cell r="F117"/>
          <cell r="G117"/>
          <cell r="H117"/>
          <cell r="I117"/>
          <cell r="J117"/>
          <cell r="K117"/>
          <cell r="L117"/>
          <cell r="M117"/>
          <cell r="N117"/>
          <cell r="O117"/>
          <cell r="P117"/>
          <cell r="Q117"/>
          <cell r="R117"/>
          <cell r="S117"/>
          <cell r="T117"/>
          <cell r="U117"/>
          <cell r="V117"/>
          <cell r="W117"/>
          <cell r="X117"/>
          <cell r="Y117"/>
          <cell r="Z117"/>
        </row>
        <row r="118">
          <cell r="A118"/>
          <cell r="B118" t="str">
            <v>NET TRANSMISSION PLANT</v>
          </cell>
          <cell r="C118"/>
          <cell r="D118"/>
          <cell r="E118">
            <v>73710.494407769234</v>
          </cell>
          <cell r="F118">
            <v>5963301.4099498671</v>
          </cell>
          <cell r="G118">
            <v>578318.8404174149</v>
          </cell>
          <cell r="H118">
            <v>55957.917018195469</v>
          </cell>
          <cell r="I118">
            <v>10440.192920878906</v>
          </cell>
          <cell r="J118">
            <v>4507.7672906089911</v>
          </cell>
          <cell r="K118">
            <v>482083.93291569012</v>
          </cell>
          <cell r="L118">
            <v>7168320.5549204247</v>
          </cell>
          <cell r="M118"/>
          <cell r="N118"/>
          <cell r="O118"/>
          <cell r="P118"/>
          <cell r="Q118"/>
          <cell r="R118"/>
          <cell r="S118"/>
          <cell r="T118"/>
          <cell r="U118"/>
          <cell r="V118"/>
          <cell r="W118"/>
          <cell r="X118"/>
          <cell r="Y118"/>
          <cell r="Z118"/>
        </row>
        <row r="119">
          <cell r="A119"/>
          <cell r="B119" t="str">
            <v>INTANGIBLE PLANT</v>
          </cell>
          <cell r="C119"/>
          <cell r="D119"/>
          <cell r="E119"/>
          <cell r="F119">
            <v>2156.3340513394478</v>
          </cell>
          <cell r="G119">
            <v>2888.7780286605548</v>
          </cell>
          <cell r="H119"/>
          <cell r="I119"/>
          <cell r="J119"/>
          <cell r="K119"/>
          <cell r="L119">
            <v>5045.1120800000026</v>
          </cell>
          <cell r="M119"/>
          <cell r="N119"/>
          <cell r="O119"/>
          <cell r="P119"/>
          <cell r="Q119"/>
          <cell r="R119"/>
          <cell r="S119"/>
          <cell r="T119"/>
          <cell r="U119"/>
          <cell r="V119"/>
          <cell r="W119"/>
          <cell r="X119"/>
          <cell r="Y119"/>
          <cell r="Z119"/>
        </row>
        <row r="120">
          <cell r="A120"/>
          <cell r="B120" t="str">
            <v>REGULATORY ASSET</v>
          </cell>
          <cell r="C120"/>
          <cell r="D120"/>
          <cell r="E120"/>
          <cell r="F120">
            <v>25330.758856833345</v>
          </cell>
          <cell r="G120"/>
          <cell r="H120"/>
          <cell r="I120"/>
          <cell r="J120"/>
          <cell r="K120"/>
          <cell r="L120">
            <v>25330.758856833345</v>
          </cell>
          <cell r="M120"/>
          <cell r="N120"/>
          <cell r="O120"/>
          <cell r="P120"/>
          <cell r="Q120"/>
          <cell r="R120"/>
          <cell r="S120"/>
          <cell r="T120"/>
          <cell r="U120"/>
          <cell r="V120"/>
          <cell r="W120"/>
          <cell r="X120"/>
          <cell r="Y120"/>
          <cell r="Z120"/>
        </row>
        <row r="121">
          <cell r="A121"/>
          <cell r="B121" t="str">
            <v>SUBTOTAL INVESTMENT</v>
          </cell>
          <cell r="C121"/>
          <cell r="D121"/>
          <cell r="E121">
            <v>73710.494407769234</v>
          </cell>
          <cell r="F121">
            <v>5990788.5028580399</v>
          </cell>
          <cell r="G121">
            <v>581207.61844607547</v>
          </cell>
          <cell r="H121">
            <v>55957.917018195469</v>
          </cell>
          <cell r="I121">
            <v>10440.192920878906</v>
          </cell>
          <cell r="J121">
            <v>4507.7672906089911</v>
          </cell>
          <cell r="K121">
            <v>482083.93291569012</v>
          </cell>
          <cell r="L121">
            <v>7198696.425857258</v>
          </cell>
          <cell r="M121"/>
          <cell r="N121"/>
          <cell r="O121"/>
          <cell r="P121"/>
          <cell r="Q121"/>
          <cell r="R121"/>
          <cell r="S121"/>
          <cell r="T121"/>
          <cell r="U121"/>
          <cell r="V121"/>
          <cell r="W121"/>
          <cell r="X121"/>
          <cell r="Y121"/>
          <cell r="Z121"/>
        </row>
        <row r="122">
          <cell r="A122"/>
          <cell r="B122" t="str">
            <v>PERCENT</v>
          </cell>
          <cell r="C122"/>
          <cell r="D122"/>
          <cell r="E122">
            <v>1.0239422535308733E-2</v>
          </cell>
          <cell r="F122">
            <v>0.8322046310134027</v>
          </cell>
          <cell r="G122">
            <v>8.0737898094773775E-2</v>
          </cell>
          <cell r="H122">
            <v>7.7733402977236549E-3</v>
          </cell>
          <cell r="I122">
            <v>1.4502893723061302E-3</v>
          </cell>
          <cell r="J122">
            <v>6.2619216368360511E-4</v>
          </cell>
          <cell r="K122">
            <v>6.6968226522801461E-2</v>
          </cell>
          <cell r="L122">
            <v>1.0000000000000002</v>
          </cell>
          <cell r="M122"/>
          <cell r="N122"/>
          <cell r="O122"/>
          <cell r="P122"/>
          <cell r="Q122"/>
          <cell r="R122"/>
          <cell r="S122"/>
          <cell r="T122"/>
          <cell r="U122"/>
          <cell r="V122"/>
          <cell r="W122"/>
          <cell r="X122"/>
          <cell r="Y122"/>
          <cell r="Z122"/>
        </row>
        <row r="123">
          <cell r="A123"/>
          <cell r="B123" t="str">
            <v>GENERAL PLANT</v>
          </cell>
          <cell r="C123"/>
          <cell r="D123"/>
          <cell r="E123">
            <v>7996.6970708364697</v>
          </cell>
          <cell r="F123">
            <v>649928.09039897367</v>
          </cell>
          <cell r="G123">
            <v>63053.996548498137</v>
          </cell>
          <cell r="H123">
            <v>6070.7571520826586</v>
          </cell>
          <cell r="I123">
            <v>1132.6346515532296</v>
          </cell>
          <cell r="J123">
            <v>489.03822689630357</v>
          </cell>
          <cell r="K123">
            <v>52300.275628566276</v>
          </cell>
          <cell r="L123">
            <v>780971.48967740673</v>
          </cell>
          <cell r="M123"/>
          <cell r="N123"/>
          <cell r="O123"/>
          <cell r="P123"/>
          <cell r="Q123"/>
          <cell r="R123"/>
          <cell r="S123"/>
          <cell r="T123"/>
          <cell r="U123"/>
          <cell r="V123"/>
          <cell r="W123"/>
          <cell r="X123"/>
          <cell r="Y123"/>
          <cell r="Z123"/>
        </row>
        <row r="124">
          <cell r="A124"/>
          <cell r="B124" t="str">
            <v>CUSTOMER FUNDED  PROJECTS (NET PLANT)</v>
          </cell>
          <cell r="C124"/>
          <cell r="D124"/>
          <cell r="E124"/>
          <cell r="F124">
            <v>-503298.2843963065</v>
          </cell>
          <cell r="G124"/>
          <cell r="H124"/>
          <cell r="I124"/>
          <cell r="J124"/>
          <cell r="K124"/>
          <cell r="L124">
            <v>-503298.2843963065</v>
          </cell>
          <cell r="M124"/>
          <cell r="N124"/>
          <cell r="O124"/>
          <cell r="P124"/>
          <cell r="Q124"/>
          <cell r="R124"/>
          <cell r="S124"/>
          <cell r="T124"/>
          <cell r="U124"/>
          <cell r="V124"/>
          <cell r="W124"/>
          <cell r="X124"/>
          <cell r="Y124"/>
          <cell r="Z124"/>
        </row>
        <row r="125">
          <cell r="A125"/>
          <cell r="B125" t="str">
            <v>ACC REV BAL ADJ - FIBER</v>
          </cell>
          <cell r="C125"/>
          <cell r="D125"/>
          <cell r="E125">
            <v>0</v>
          </cell>
          <cell r="F125">
            <v>0</v>
          </cell>
          <cell r="G125">
            <v>0</v>
          </cell>
          <cell r="H125">
            <v>0</v>
          </cell>
          <cell r="I125">
            <v>0</v>
          </cell>
          <cell r="J125">
            <v>0</v>
          </cell>
          <cell r="K125">
            <v>0</v>
          </cell>
          <cell r="L125">
            <v>0</v>
          </cell>
          <cell r="M125"/>
          <cell r="N125"/>
          <cell r="O125"/>
          <cell r="P125"/>
          <cell r="Q125"/>
          <cell r="R125"/>
          <cell r="S125"/>
          <cell r="T125"/>
          <cell r="U125"/>
          <cell r="V125"/>
          <cell r="W125"/>
          <cell r="X125"/>
          <cell r="Y125"/>
          <cell r="Z125"/>
        </row>
        <row r="126">
          <cell r="A126"/>
          <cell r="B126" t="str">
            <v>ACC REV BAL ADJ - 3AC</v>
          </cell>
          <cell r="C126"/>
          <cell r="D126"/>
          <cell r="E126"/>
          <cell r="F126"/>
          <cell r="G126">
            <v>-69846</v>
          </cell>
          <cell r="H126"/>
          <cell r="I126"/>
          <cell r="J126"/>
          <cell r="K126"/>
          <cell r="L126">
            <v>-69846</v>
          </cell>
          <cell r="M126"/>
          <cell r="N126"/>
          <cell r="O126"/>
          <cell r="P126"/>
          <cell r="Q126"/>
          <cell r="R126"/>
          <cell r="S126"/>
          <cell r="T126"/>
          <cell r="U126"/>
          <cell r="V126"/>
          <cell r="W126"/>
          <cell r="X126"/>
          <cell r="Y126"/>
          <cell r="Z126"/>
        </row>
        <row r="127">
          <cell r="A127"/>
          <cell r="B127" t="str">
            <v>INVESTMENT BASE</v>
          </cell>
          <cell r="C127"/>
          <cell r="D127"/>
          <cell r="E127">
            <v>81707.191478605702</v>
          </cell>
          <cell r="F127">
            <v>6137418.3088607071</v>
          </cell>
          <cell r="G127">
            <v>574415.61499457364</v>
          </cell>
          <cell r="H127">
            <v>62028.674170278129</v>
          </cell>
          <cell r="I127">
            <v>11572.827572432136</v>
          </cell>
          <cell r="J127">
            <v>4996.805517505295</v>
          </cell>
          <cell r="K127">
            <v>534384.2085442564</v>
          </cell>
          <cell r="L127">
            <v>7406523.6311383573</v>
          </cell>
          <cell r="M127"/>
          <cell r="N127"/>
          <cell r="O127"/>
          <cell r="P127"/>
          <cell r="Q127"/>
          <cell r="R127"/>
          <cell r="S127"/>
          <cell r="T127"/>
          <cell r="U127"/>
          <cell r="V127"/>
          <cell r="W127"/>
          <cell r="X127"/>
          <cell r="Y127"/>
          <cell r="Z127"/>
        </row>
        <row r="128">
          <cell r="A128"/>
          <cell r="B128"/>
          <cell r="C128"/>
          <cell r="D128"/>
          <cell r="E128">
            <v>1.1031787049877756E-2</v>
          </cell>
          <cell r="F128">
            <v>0.82865033779922026</v>
          </cell>
          <cell r="G128">
            <v>7.7555361138608545E-2</v>
          </cell>
          <cell r="H128">
            <v>8.374870217047364E-3</v>
          </cell>
          <cell r="I128">
            <v>1.5625181460000867E-3</v>
          </cell>
          <cell r="J128">
            <v>6.7464923712628501E-4</v>
          </cell>
          <cell r="K128">
            <v>7.2150476412119857E-2</v>
          </cell>
          <cell r="L128"/>
          <cell r="M128"/>
          <cell r="N128"/>
          <cell r="O128"/>
          <cell r="P128"/>
          <cell r="Q128"/>
          <cell r="R128"/>
          <cell r="S128"/>
          <cell r="T128"/>
          <cell r="U128"/>
          <cell r="V128"/>
          <cell r="W128"/>
          <cell r="X128"/>
          <cell r="Y128"/>
          <cell r="Z128"/>
        </row>
        <row r="129">
          <cell r="A129"/>
          <cell r="B129"/>
          <cell r="C129"/>
          <cell r="D129"/>
          <cell r="E129" t="str">
            <v>GENERATION INTEGRATION</v>
          </cell>
          <cell r="F129" t="str">
            <v>NETWORK</v>
          </cell>
          <cell r="G129" t="str">
            <v>SOUTHERN INTERTIE</v>
          </cell>
          <cell r="H129" t="str">
            <v>EASTERN INTERTIE</v>
          </cell>
          <cell r="I129" t="str">
            <v>UTILITY DELIVERY</v>
          </cell>
          <cell r="J129" t="str">
            <v>DSI DELIVERY</v>
          </cell>
          <cell r="K129" t="str">
            <v>ANCILLARY SERVICES</v>
          </cell>
          <cell r="L129" t="str">
            <v>TOTAL</v>
          </cell>
          <cell r="M129"/>
          <cell r="N129"/>
          <cell r="O129"/>
          <cell r="P129"/>
          <cell r="Q129"/>
          <cell r="R129"/>
          <cell r="S129"/>
          <cell r="T129"/>
          <cell r="U129"/>
          <cell r="V129"/>
          <cell r="W129"/>
          <cell r="X129"/>
          <cell r="Y129"/>
          <cell r="Z129"/>
        </row>
        <row r="130">
          <cell r="A130"/>
          <cell r="B130">
            <v>2029</v>
          </cell>
          <cell r="C130"/>
          <cell r="D130"/>
          <cell r="E130"/>
          <cell r="F130"/>
          <cell r="G130"/>
          <cell r="H130"/>
          <cell r="I130"/>
          <cell r="J130"/>
          <cell r="K130"/>
          <cell r="L130"/>
          <cell r="M130"/>
          <cell r="N130"/>
          <cell r="O130"/>
          <cell r="P130"/>
          <cell r="Q130"/>
          <cell r="R130"/>
          <cell r="S130"/>
          <cell r="T130"/>
          <cell r="U130"/>
          <cell r="V130"/>
          <cell r="W130"/>
          <cell r="X130"/>
          <cell r="Y130"/>
          <cell r="Z130"/>
        </row>
        <row r="131">
          <cell r="A131"/>
          <cell r="B131" t="str">
            <v>NET TRANSMISSION PLANT</v>
          </cell>
          <cell r="C131"/>
          <cell r="D131"/>
          <cell r="E131">
            <v>70318.494407769234</v>
          </cell>
          <cell r="F131">
            <v>6012885.303895344</v>
          </cell>
          <cell r="G131">
            <v>551019.8404174149</v>
          </cell>
          <cell r="H131">
            <v>52625.917018195469</v>
          </cell>
          <cell r="I131">
            <v>10003.192920878906</v>
          </cell>
          <cell r="J131">
            <v>4320.7672906089911</v>
          </cell>
          <cell r="K131">
            <v>521409.18029636639</v>
          </cell>
          <cell r="L131">
            <v>7222582.6962465774</v>
          </cell>
          <cell r="M131"/>
          <cell r="N131"/>
          <cell r="O131"/>
          <cell r="P131"/>
          <cell r="Q131"/>
          <cell r="R131"/>
          <cell r="S131"/>
          <cell r="T131"/>
          <cell r="U131"/>
          <cell r="V131"/>
          <cell r="W131"/>
          <cell r="X131"/>
          <cell r="Y131"/>
          <cell r="Z131"/>
        </row>
        <row r="132">
          <cell r="A132"/>
          <cell r="B132" t="str">
            <v>INTANGIBLE PLANT</v>
          </cell>
          <cell r="C132"/>
          <cell r="D132"/>
          <cell r="E132"/>
          <cell r="F132">
            <v>1972.120110917474</v>
          </cell>
          <cell r="G132">
            <v>2641.9919690825291</v>
          </cell>
          <cell r="H132"/>
          <cell r="I132"/>
          <cell r="J132"/>
          <cell r="K132"/>
          <cell r="L132">
            <v>4614.1120800000026</v>
          </cell>
          <cell r="M132"/>
          <cell r="N132"/>
          <cell r="O132"/>
          <cell r="P132"/>
          <cell r="Q132"/>
          <cell r="R132"/>
          <cell r="S132"/>
          <cell r="T132"/>
          <cell r="U132"/>
          <cell r="V132"/>
          <cell r="W132"/>
          <cell r="X132"/>
          <cell r="Y132"/>
          <cell r="Z132"/>
        </row>
        <row r="133">
          <cell r="A133"/>
          <cell r="B133" t="str">
            <v>REGULATORY ASSET</v>
          </cell>
          <cell r="C133"/>
          <cell r="D133"/>
          <cell r="E133"/>
          <cell r="F133">
            <v>23064.143030833344</v>
          </cell>
          <cell r="G133"/>
          <cell r="H133"/>
          <cell r="I133"/>
          <cell r="J133"/>
          <cell r="K133"/>
          <cell r="L133">
            <v>23064.143030833344</v>
          </cell>
          <cell r="M133"/>
          <cell r="N133"/>
          <cell r="O133"/>
          <cell r="P133"/>
          <cell r="Q133"/>
          <cell r="R133"/>
          <cell r="S133"/>
          <cell r="T133"/>
          <cell r="U133"/>
          <cell r="V133"/>
          <cell r="W133"/>
          <cell r="X133"/>
          <cell r="Y133"/>
          <cell r="Z133"/>
        </row>
        <row r="134">
          <cell r="A134"/>
          <cell r="B134" t="str">
            <v>SUBTOTAL INVESTMENT</v>
          </cell>
          <cell r="C134"/>
          <cell r="D134"/>
          <cell r="E134">
            <v>70318.494407769234</v>
          </cell>
          <cell r="F134">
            <v>6037921.5670370953</v>
          </cell>
          <cell r="G134">
            <v>553661.83238649741</v>
          </cell>
          <cell r="H134">
            <v>52625.917018195469</v>
          </cell>
          <cell r="I134">
            <v>10003.192920878906</v>
          </cell>
          <cell r="J134">
            <v>4320.7672906089911</v>
          </cell>
          <cell r="K134">
            <v>521409.18029636639</v>
          </cell>
          <cell r="L134">
            <v>7250260.9513574112</v>
          </cell>
          <cell r="M134"/>
          <cell r="N134"/>
          <cell r="O134"/>
          <cell r="P134"/>
          <cell r="Q134"/>
          <cell r="R134"/>
          <cell r="S134"/>
          <cell r="T134"/>
          <cell r="U134"/>
          <cell r="V134"/>
          <cell r="W134"/>
          <cell r="X134"/>
          <cell r="Y134"/>
          <cell r="Z134"/>
        </row>
        <row r="135">
          <cell r="A135"/>
          <cell r="B135" t="str">
            <v>PERCENT</v>
          </cell>
          <cell r="C135"/>
          <cell r="D135"/>
          <cell r="E135">
            <v>9.6987535868766264E-3</v>
          </cell>
          <cell r="F135">
            <v>0.83278679313006809</v>
          </cell>
          <cell r="G135">
            <v>7.6364400688617912E-2</v>
          </cell>
          <cell r="H135">
            <v>7.2584859181299838E-3</v>
          </cell>
          <cell r="I135">
            <v>1.3797010877251369E-3</v>
          </cell>
          <cell r="J135">
            <v>5.9594645207908638E-4</v>
          </cell>
          <cell r="K135">
            <v>7.1915919136503206E-2</v>
          </cell>
          <cell r="L135">
            <v>1</v>
          </cell>
          <cell r="M135"/>
          <cell r="N135"/>
          <cell r="O135"/>
          <cell r="P135"/>
          <cell r="Q135"/>
          <cell r="R135"/>
          <cell r="S135"/>
          <cell r="T135"/>
          <cell r="U135"/>
          <cell r="V135"/>
          <cell r="W135"/>
          <cell r="X135"/>
          <cell r="Y135"/>
          <cell r="Z135"/>
        </row>
        <row r="136">
          <cell r="A136"/>
          <cell r="B136" t="str">
            <v>GENERAL PLANT</v>
          </cell>
          <cell r="C136"/>
          <cell r="D136"/>
          <cell r="E136">
            <v>7346.1234225111002</v>
          </cell>
          <cell r="F136">
            <v>630777.39960819564</v>
          </cell>
          <cell r="G136">
            <v>57840.660402357615</v>
          </cell>
          <cell r="H136">
            <v>5497.792364504573</v>
          </cell>
          <cell r="I136">
            <v>1045.0264960144923</v>
          </cell>
          <cell r="J136">
            <v>451.3875057207652</v>
          </cell>
          <cell r="K136">
            <v>54471.248628785354</v>
          </cell>
          <cell r="L136">
            <v>757429.63842808956</v>
          </cell>
          <cell r="M136"/>
          <cell r="N136"/>
          <cell r="O136"/>
          <cell r="P136"/>
          <cell r="Q136"/>
          <cell r="R136"/>
          <cell r="S136"/>
          <cell r="T136"/>
          <cell r="U136"/>
          <cell r="V136"/>
          <cell r="W136"/>
          <cell r="X136"/>
          <cell r="Y136"/>
          <cell r="Z136"/>
        </row>
        <row r="137">
          <cell r="A137"/>
          <cell r="B137" t="str">
            <v>CUSTOMER FUNDED  PROJECTS (NET PLANT)</v>
          </cell>
          <cell r="C137"/>
          <cell r="D137"/>
          <cell r="E137"/>
          <cell r="F137">
            <v>-512886.02541977167</v>
          </cell>
          <cell r="G137"/>
          <cell r="H137"/>
          <cell r="I137"/>
          <cell r="J137"/>
          <cell r="K137"/>
          <cell r="L137">
            <v>-512886.02541977167</v>
          </cell>
          <cell r="M137"/>
          <cell r="N137"/>
          <cell r="O137"/>
          <cell r="P137"/>
          <cell r="Q137"/>
          <cell r="R137"/>
          <cell r="S137"/>
          <cell r="T137"/>
          <cell r="U137"/>
          <cell r="V137"/>
          <cell r="W137"/>
          <cell r="X137"/>
          <cell r="Y137"/>
          <cell r="Z137"/>
        </row>
        <row r="138">
          <cell r="A138"/>
          <cell r="B138" t="str">
            <v>ACC REV BAL ADJ - FIBER</v>
          </cell>
          <cell r="C138"/>
          <cell r="D138"/>
          <cell r="E138">
            <v>0</v>
          </cell>
          <cell r="F138">
            <v>0</v>
          </cell>
          <cell r="G138">
            <v>0</v>
          </cell>
          <cell r="H138">
            <v>0</v>
          </cell>
          <cell r="I138">
            <v>0</v>
          </cell>
          <cell r="J138">
            <v>0</v>
          </cell>
          <cell r="K138">
            <v>0</v>
          </cell>
          <cell r="L138">
            <v>0</v>
          </cell>
          <cell r="M138"/>
          <cell r="N138"/>
          <cell r="O138"/>
          <cell r="P138"/>
          <cell r="Q138"/>
          <cell r="R138"/>
          <cell r="S138"/>
          <cell r="T138"/>
          <cell r="U138"/>
          <cell r="V138"/>
          <cell r="W138"/>
          <cell r="X138"/>
          <cell r="Y138"/>
          <cell r="Z138"/>
        </row>
        <row r="139">
          <cell r="A139"/>
          <cell r="B139" t="str">
            <v>ACC REV BAL ADJ - 3AC</v>
          </cell>
          <cell r="C139"/>
          <cell r="D139"/>
          <cell r="E139"/>
          <cell r="F139"/>
          <cell r="G139">
            <v>-66339</v>
          </cell>
          <cell r="H139"/>
          <cell r="I139"/>
          <cell r="J139"/>
          <cell r="K139"/>
          <cell r="L139">
            <v>-66339</v>
          </cell>
          <cell r="M139"/>
          <cell r="N139"/>
          <cell r="O139"/>
          <cell r="P139"/>
          <cell r="Q139"/>
          <cell r="R139"/>
          <cell r="S139"/>
          <cell r="T139"/>
          <cell r="U139"/>
          <cell r="V139"/>
          <cell r="W139"/>
          <cell r="X139"/>
          <cell r="Y139"/>
          <cell r="Z139"/>
        </row>
        <row r="140">
          <cell r="A140"/>
          <cell r="B140" t="str">
            <v>INVESTMENT BASE</v>
          </cell>
          <cell r="C140"/>
          <cell r="D140"/>
          <cell r="E140">
            <v>77664.617830280331</v>
          </cell>
          <cell r="F140">
            <v>6155812.9412255194</v>
          </cell>
          <cell r="G140">
            <v>545163.49278885499</v>
          </cell>
          <cell r="H140">
            <v>58123.709382700043</v>
          </cell>
          <cell r="I140">
            <v>11048.219416893398</v>
          </cell>
          <cell r="J140">
            <v>4772.1547963297562</v>
          </cell>
          <cell r="K140">
            <v>575880.4289251517</v>
          </cell>
          <cell r="L140">
            <v>7428465.5643657288</v>
          </cell>
          <cell r="M140"/>
          <cell r="N140"/>
          <cell r="O140"/>
          <cell r="P140"/>
          <cell r="Q140"/>
          <cell r="R140"/>
          <cell r="S140"/>
          <cell r="T140"/>
          <cell r="U140"/>
          <cell r="V140"/>
          <cell r="W140"/>
          <cell r="X140"/>
          <cell r="Y140"/>
          <cell r="Z140"/>
        </row>
        <row r="141">
          <cell r="A141"/>
          <cell r="B141"/>
          <cell r="C141"/>
          <cell r="D141"/>
          <cell r="E141">
            <v>1.0455001393940181E-2</v>
          </cell>
          <cell r="F141">
            <v>0.82867893616615651</v>
          </cell>
          <cell r="G141">
            <v>7.3388439115070883E-2</v>
          </cell>
          <cell r="H141">
            <v>7.8244569997764895E-3</v>
          </cell>
          <cell r="I141">
            <v>1.4872815012957172E-3</v>
          </cell>
          <cell r="J141">
            <v>6.4241460837103866E-4</v>
          </cell>
          <cell r="K141">
            <v>7.7523470215389315E-2</v>
          </cell>
          <cell r="L141"/>
          <cell r="M141"/>
          <cell r="N141"/>
          <cell r="O141"/>
          <cell r="P141"/>
          <cell r="Q141"/>
          <cell r="R141"/>
          <cell r="S141"/>
          <cell r="T141"/>
          <cell r="U141"/>
          <cell r="V141"/>
          <cell r="W141"/>
          <cell r="X141"/>
          <cell r="Y141"/>
          <cell r="Z141"/>
        </row>
        <row r="142">
          <cell r="B142"/>
          <cell r="C142"/>
          <cell r="D142"/>
          <cell r="E142" t="str">
            <v>GENERATION INTEGRATION</v>
          </cell>
          <cell r="F142" t="str">
            <v>NETWORK</v>
          </cell>
          <cell r="G142" t="str">
            <v>SOUTHERN INTERTIE</v>
          </cell>
          <cell r="H142" t="str">
            <v>EASTERN INTERTIE</v>
          </cell>
          <cell r="I142" t="str">
            <v>UTILITY DELIVERY</v>
          </cell>
          <cell r="J142" t="str">
            <v>DSI DELIVERY</v>
          </cell>
          <cell r="K142" t="str">
            <v>ANCILLARY SERVICES</v>
          </cell>
          <cell r="L142" t="str">
            <v>TOTAL</v>
          </cell>
          <cell r="M142"/>
          <cell r="N142"/>
          <cell r="O142"/>
          <cell r="P142"/>
          <cell r="Q142"/>
          <cell r="R142"/>
          <cell r="S142"/>
          <cell r="T142"/>
          <cell r="U142"/>
          <cell r="V142"/>
          <cell r="W142"/>
          <cell r="X142"/>
          <cell r="Y142"/>
          <cell r="Z142"/>
        </row>
        <row r="143">
          <cell r="B143">
            <v>2030</v>
          </cell>
          <cell r="C143"/>
          <cell r="D143"/>
          <cell r="E143"/>
          <cell r="F143"/>
          <cell r="G143"/>
          <cell r="H143"/>
          <cell r="I143"/>
          <cell r="J143"/>
          <cell r="K143"/>
          <cell r="L143"/>
          <cell r="M143"/>
          <cell r="N143"/>
          <cell r="O143"/>
          <cell r="P143"/>
          <cell r="Q143"/>
          <cell r="R143"/>
          <cell r="S143"/>
          <cell r="T143"/>
          <cell r="U143"/>
          <cell r="V143"/>
          <cell r="W143"/>
          <cell r="X143"/>
          <cell r="Y143"/>
          <cell r="Z143"/>
        </row>
        <row r="144">
          <cell r="B144" t="str">
            <v>NET TRANSMISSION PLANT</v>
          </cell>
          <cell r="C144"/>
          <cell r="D144"/>
          <cell r="E144">
            <v>66926.494407769234</v>
          </cell>
          <cell r="F144">
            <v>6059168.2067359043</v>
          </cell>
          <cell r="G144">
            <v>523720.8404174149</v>
          </cell>
          <cell r="H144">
            <v>49293.917018195469</v>
          </cell>
          <cell r="I144">
            <v>9566.1929208789061</v>
          </cell>
          <cell r="J144">
            <v>4133.7672906089911</v>
          </cell>
          <cell r="K144">
            <v>559471.73546052747</v>
          </cell>
          <cell r="L144">
            <v>7272281.1542512989</v>
          </cell>
          <cell r="M144"/>
          <cell r="N144"/>
          <cell r="O144"/>
          <cell r="P144"/>
          <cell r="Q144"/>
          <cell r="R144"/>
          <cell r="S144"/>
          <cell r="T144"/>
          <cell r="U144"/>
          <cell r="V144"/>
          <cell r="W144"/>
          <cell r="X144"/>
          <cell r="Y144"/>
          <cell r="Z144"/>
        </row>
        <row r="145">
          <cell r="B145" t="str">
            <v>INTANGIBLE PLANT</v>
          </cell>
          <cell r="C145"/>
          <cell r="D145"/>
          <cell r="E145"/>
          <cell r="F145">
            <v>1787.9061704955</v>
          </cell>
          <cell r="G145">
            <v>2395.2059095045029</v>
          </cell>
          <cell r="H145"/>
          <cell r="I145"/>
          <cell r="J145"/>
          <cell r="K145"/>
          <cell r="L145">
            <v>4183.1120800000026</v>
          </cell>
          <cell r="M145"/>
          <cell r="N145"/>
          <cell r="O145"/>
          <cell r="P145"/>
          <cell r="Q145"/>
          <cell r="R145"/>
          <cell r="S145"/>
          <cell r="T145"/>
          <cell r="U145"/>
          <cell r="V145"/>
          <cell r="W145"/>
          <cell r="X145"/>
          <cell r="Y145"/>
          <cell r="Z145"/>
        </row>
        <row r="146">
          <cell r="B146" t="str">
            <v>REGULATORY ASSET</v>
          </cell>
          <cell r="C146"/>
          <cell r="D146"/>
          <cell r="E146"/>
          <cell r="F146">
            <v>20797.527204833343</v>
          </cell>
          <cell r="G146"/>
          <cell r="H146"/>
          <cell r="I146"/>
          <cell r="J146"/>
          <cell r="K146"/>
          <cell r="L146">
            <v>20797.527204833343</v>
          </cell>
          <cell r="M146"/>
          <cell r="N146"/>
          <cell r="O146"/>
          <cell r="P146"/>
          <cell r="Q146"/>
          <cell r="R146"/>
          <cell r="S146"/>
          <cell r="T146"/>
          <cell r="U146"/>
          <cell r="V146"/>
          <cell r="W146"/>
          <cell r="X146"/>
          <cell r="Y146"/>
          <cell r="Z146"/>
        </row>
        <row r="147">
          <cell r="B147" t="str">
            <v>SUBTOTAL INVESTMENT</v>
          </cell>
          <cell r="C147"/>
          <cell r="D147"/>
          <cell r="E147">
            <v>66926.494407769234</v>
          </cell>
          <cell r="F147">
            <v>6081753.6401112331</v>
          </cell>
          <cell r="G147">
            <v>526116.04632691946</v>
          </cell>
          <cell r="H147">
            <v>49293.917018195469</v>
          </cell>
          <cell r="I147">
            <v>9566.1929208789061</v>
          </cell>
          <cell r="J147">
            <v>4133.7672906089911</v>
          </cell>
          <cell r="K147">
            <v>559471.73546052747</v>
          </cell>
          <cell r="L147">
            <v>7297261.7935361322</v>
          </cell>
          <cell r="M147"/>
          <cell r="N147"/>
          <cell r="O147"/>
          <cell r="P147"/>
          <cell r="Q147"/>
          <cell r="R147"/>
          <cell r="S147"/>
          <cell r="T147"/>
          <cell r="U147"/>
          <cell r="V147"/>
          <cell r="W147"/>
          <cell r="X147"/>
          <cell r="Y147"/>
          <cell r="Z147"/>
        </row>
        <row r="148">
          <cell r="B148" t="str">
            <v>PERCENT</v>
          </cell>
          <cell r="C148"/>
          <cell r="D148"/>
          <cell r="E148">
            <v>9.1714531150646535E-3</v>
          </cell>
          <cell r="F148">
            <v>0.83342955374006333</v>
          </cell>
          <cell r="G148">
            <v>7.2097734905570976E-2</v>
          </cell>
          <cell r="H148">
            <v>6.7551251980379418E-3</v>
          </cell>
          <cell r="I148">
            <v>1.3109291117049655E-3</v>
          </cell>
          <cell r="J148">
            <v>5.6648197742756822E-4</v>
          </cell>
          <cell r="K148">
            <v>7.6668721952130592E-2</v>
          </cell>
          <cell r="L148">
            <v>0.99999999999999989</v>
          </cell>
          <cell r="M148"/>
          <cell r="N148"/>
          <cell r="O148"/>
          <cell r="P148"/>
          <cell r="Q148"/>
          <cell r="R148"/>
          <cell r="S148"/>
          <cell r="T148"/>
          <cell r="U148"/>
          <cell r="V148"/>
          <cell r="W148"/>
          <cell r="X148"/>
          <cell r="Y148"/>
          <cell r="Z148"/>
        </row>
        <row r="149">
          <cell r="B149" t="str">
            <v>GENERAL PLANT</v>
          </cell>
          <cell r="C149"/>
          <cell r="D149"/>
          <cell r="E149">
            <v>6714.8296551146004</v>
          </cell>
          <cell r="F149">
            <v>610190.92751075514</v>
          </cell>
          <cell r="G149">
            <v>52785.965575653085</v>
          </cell>
          <cell r="H149">
            <v>4945.728276066895</v>
          </cell>
          <cell r="I149">
            <v>959.78963906718832</v>
          </cell>
          <cell r="J149">
            <v>414.74670735333962</v>
          </cell>
          <cell r="K149">
            <v>56132.588950194193</v>
          </cell>
          <cell r="L149">
            <v>732144.57631420437</v>
          </cell>
          <cell r="M149"/>
          <cell r="N149"/>
          <cell r="O149"/>
          <cell r="P149"/>
          <cell r="Q149"/>
          <cell r="R149"/>
          <cell r="S149"/>
          <cell r="T149"/>
          <cell r="U149"/>
          <cell r="V149"/>
          <cell r="W149"/>
          <cell r="X149"/>
          <cell r="Y149"/>
          <cell r="Z149"/>
        </row>
        <row r="150">
          <cell r="B150" t="str">
            <v>CUSTOMER FUNDED  PROJECTS (NET PLANT)</v>
          </cell>
          <cell r="C150"/>
          <cell r="D150"/>
          <cell r="E150"/>
          <cell r="F150">
            <v>-522096.56790023146</v>
          </cell>
          <cell r="G150"/>
          <cell r="H150"/>
          <cell r="I150"/>
          <cell r="J150"/>
          <cell r="K150"/>
          <cell r="L150">
            <v>-522096.56790023146</v>
          </cell>
          <cell r="M150"/>
          <cell r="N150"/>
          <cell r="O150"/>
          <cell r="P150"/>
          <cell r="Q150"/>
          <cell r="R150"/>
          <cell r="S150"/>
          <cell r="T150"/>
          <cell r="U150"/>
          <cell r="V150"/>
          <cell r="W150"/>
          <cell r="X150"/>
          <cell r="Y150"/>
          <cell r="Z150"/>
        </row>
        <row r="151">
          <cell r="B151" t="str">
            <v>ACC REV BAL ADJ - FIBER</v>
          </cell>
          <cell r="C151"/>
          <cell r="D151"/>
          <cell r="E151">
            <v>0</v>
          </cell>
          <cell r="F151">
            <v>0</v>
          </cell>
          <cell r="G151">
            <v>0</v>
          </cell>
          <cell r="H151">
            <v>0</v>
          </cell>
          <cell r="I151">
            <v>0</v>
          </cell>
          <cell r="J151">
            <v>0</v>
          </cell>
          <cell r="K151">
            <v>0</v>
          </cell>
          <cell r="L151">
            <v>0</v>
          </cell>
          <cell r="M151"/>
          <cell r="N151"/>
          <cell r="O151"/>
          <cell r="P151"/>
          <cell r="Q151"/>
          <cell r="R151"/>
          <cell r="S151"/>
          <cell r="T151"/>
          <cell r="U151"/>
          <cell r="V151"/>
          <cell r="W151"/>
          <cell r="X151"/>
          <cell r="Y151"/>
          <cell r="Z151"/>
        </row>
        <row r="152">
          <cell r="B152" t="str">
            <v>ACC REV BAL ADJ - 3AC</v>
          </cell>
          <cell r="C152"/>
          <cell r="D152"/>
          <cell r="E152"/>
          <cell r="F152"/>
          <cell r="G152">
            <v>-62832</v>
          </cell>
          <cell r="H152"/>
          <cell r="I152"/>
          <cell r="J152"/>
          <cell r="K152"/>
          <cell r="L152">
            <v>-62832</v>
          </cell>
          <cell r="M152"/>
          <cell r="N152"/>
          <cell r="O152"/>
          <cell r="P152"/>
          <cell r="Q152"/>
          <cell r="R152"/>
          <cell r="S152"/>
          <cell r="T152"/>
          <cell r="U152"/>
          <cell r="V152"/>
          <cell r="W152"/>
          <cell r="X152"/>
          <cell r="Y152"/>
          <cell r="Z152"/>
        </row>
        <row r="153">
          <cell r="B153" t="str">
            <v>INVESTMENT BASE</v>
          </cell>
          <cell r="C153"/>
          <cell r="D153"/>
          <cell r="E153">
            <v>73641.324062883839</v>
          </cell>
          <cell r="F153">
            <v>6169847.9997217571</v>
          </cell>
          <cell r="G153">
            <v>516070.01190257259</v>
          </cell>
          <cell r="H153">
            <v>54239.645294262365</v>
          </cell>
          <cell r="I153">
            <v>10525.982559946095</v>
          </cell>
          <cell r="J153">
            <v>4548.5139979623309</v>
          </cell>
          <cell r="K153">
            <v>615604.32441072166</v>
          </cell>
          <cell r="L153">
            <v>7444477.8019501064</v>
          </cell>
          <cell r="M153"/>
          <cell r="N153"/>
          <cell r="O153"/>
          <cell r="P153"/>
          <cell r="Q153"/>
          <cell r="R153"/>
          <cell r="S153"/>
          <cell r="T153"/>
          <cell r="U153"/>
          <cell r="V153"/>
          <cell r="W153"/>
          <cell r="X153"/>
          <cell r="Y153"/>
          <cell r="Z153"/>
        </row>
        <row r="154">
          <cell r="B154"/>
          <cell r="C154"/>
          <cell r="D154"/>
          <cell r="E154">
            <v>9.8920738327130543E-3</v>
          </cell>
          <cell r="F154">
            <v>0.82878183854689502</v>
          </cell>
          <cell r="G154">
            <v>6.9322526795282571E-2</v>
          </cell>
          <cell r="H154">
            <v>7.285889855169439E-3</v>
          </cell>
          <cell r="I154">
            <v>1.413931620185472E-3</v>
          </cell>
          <cell r="J154">
            <v>6.1099167986918197E-4</v>
          </cell>
          <cell r="K154">
            <v>8.2692747669885186E-2</v>
          </cell>
          <cell r="L154"/>
          <cell r="M154"/>
          <cell r="N154"/>
          <cell r="O154"/>
          <cell r="P154"/>
          <cell r="Q154"/>
          <cell r="R154"/>
          <cell r="S154"/>
          <cell r="T154"/>
          <cell r="U154"/>
          <cell r="V154"/>
          <cell r="W154"/>
          <cell r="X154"/>
          <cell r="Y154"/>
          <cell r="Z154"/>
        </row>
        <row r="155">
          <cell r="B155"/>
          <cell r="C155"/>
          <cell r="D155"/>
          <cell r="E155" t="str">
            <v>GENERATION INTEGRATION</v>
          </cell>
          <cell r="F155" t="str">
            <v>NETWORK</v>
          </cell>
          <cell r="G155" t="str">
            <v>SOUTHERN INTERTIE</v>
          </cell>
          <cell r="H155" t="str">
            <v>EASTERN INTERTIE</v>
          </cell>
          <cell r="I155" t="str">
            <v>UTILITY DELIVERY</v>
          </cell>
          <cell r="J155" t="str">
            <v>DSI DELIVERY</v>
          </cell>
          <cell r="K155" t="str">
            <v>ANCILLARY SERVICES</v>
          </cell>
          <cell r="L155" t="str">
            <v>TOTAL</v>
          </cell>
          <cell r="M155"/>
          <cell r="N155"/>
          <cell r="O155"/>
          <cell r="P155"/>
          <cell r="Q155"/>
          <cell r="R155"/>
          <cell r="S155"/>
          <cell r="T155"/>
          <cell r="U155"/>
          <cell r="V155"/>
          <cell r="W155"/>
          <cell r="X155"/>
          <cell r="Y155"/>
          <cell r="Z155"/>
        </row>
        <row r="156">
          <cell r="B156">
            <v>2031</v>
          </cell>
          <cell r="C156"/>
          <cell r="D156"/>
          <cell r="E156"/>
          <cell r="F156"/>
          <cell r="G156"/>
          <cell r="H156"/>
          <cell r="I156"/>
          <cell r="J156"/>
          <cell r="K156"/>
          <cell r="L156"/>
          <cell r="M156"/>
          <cell r="N156"/>
          <cell r="O156"/>
          <cell r="P156"/>
          <cell r="Q156"/>
          <cell r="R156"/>
          <cell r="S156"/>
          <cell r="T156"/>
          <cell r="U156"/>
          <cell r="V156"/>
          <cell r="W156"/>
          <cell r="X156"/>
          <cell r="Y156"/>
          <cell r="Z156"/>
        </row>
        <row r="157">
          <cell r="B157" t="str">
            <v>NET TRANSMISSION PLANT</v>
          </cell>
          <cell r="C157"/>
          <cell r="D157"/>
          <cell r="E157">
            <v>63534.494407769234</v>
          </cell>
          <cell r="F157">
            <v>6124103.0261678426</v>
          </cell>
          <cell r="G157">
            <v>496421.8404174149</v>
          </cell>
          <cell r="H157">
            <v>45961.917018195469</v>
          </cell>
          <cell r="I157">
            <v>9129.1929208789061</v>
          </cell>
          <cell r="J157">
            <v>3946.7672906089911</v>
          </cell>
          <cell r="K157">
            <v>597401.36867004726</v>
          </cell>
          <cell r="L157">
            <v>7340498.6068927571</v>
          </cell>
          <cell r="M157"/>
          <cell r="N157"/>
          <cell r="O157"/>
          <cell r="P157"/>
          <cell r="Q157"/>
          <cell r="R157"/>
          <cell r="S157"/>
          <cell r="T157"/>
          <cell r="U157"/>
          <cell r="V157"/>
          <cell r="W157"/>
          <cell r="X157"/>
          <cell r="Y157"/>
          <cell r="Z157"/>
        </row>
        <row r="158">
          <cell r="B158" t="str">
            <v>INTANGIBLE PLANT</v>
          </cell>
          <cell r="C158"/>
          <cell r="D158"/>
          <cell r="E158"/>
          <cell r="F158">
            <v>1603.6922300735259</v>
          </cell>
          <cell r="G158">
            <v>2148.4198499264771</v>
          </cell>
          <cell r="H158"/>
          <cell r="I158"/>
          <cell r="J158"/>
          <cell r="K158"/>
          <cell r="L158">
            <v>3752.1120800000031</v>
          </cell>
          <cell r="M158"/>
          <cell r="N158"/>
          <cell r="O158"/>
          <cell r="P158"/>
          <cell r="Q158"/>
          <cell r="R158"/>
          <cell r="S158"/>
          <cell r="T158"/>
          <cell r="U158"/>
          <cell r="V158"/>
          <cell r="W158"/>
          <cell r="X158"/>
          <cell r="Y158"/>
          <cell r="Z158"/>
        </row>
        <row r="159">
          <cell r="B159" t="str">
            <v>REGULATORY ASSET</v>
          </cell>
          <cell r="C159"/>
          <cell r="D159"/>
          <cell r="E159"/>
          <cell r="F159">
            <v>18530.911378833342</v>
          </cell>
          <cell r="G159"/>
          <cell r="H159"/>
          <cell r="I159"/>
          <cell r="J159"/>
          <cell r="K159"/>
          <cell r="L159">
            <v>18530.911378833342</v>
          </cell>
          <cell r="M159"/>
          <cell r="N159"/>
          <cell r="O159"/>
          <cell r="P159"/>
          <cell r="Q159"/>
          <cell r="R159"/>
          <cell r="S159"/>
          <cell r="T159"/>
          <cell r="U159"/>
          <cell r="V159"/>
          <cell r="W159"/>
          <cell r="X159"/>
          <cell r="Y159"/>
          <cell r="Z159"/>
        </row>
        <row r="160">
          <cell r="B160" t="str">
            <v>SUBTOTAL INVESTMENT</v>
          </cell>
          <cell r="C160"/>
          <cell r="D160"/>
          <cell r="E160">
            <v>63534.494407769234</v>
          </cell>
          <cell r="F160">
            <v>6144237.6297767498</v>
          </cell>
          <cell r="G160">
            <v>498570.26026734139</v>
          </cell>
          <cell r="H160">
            <v>45961.917018195469</v>
          </cell>
          <cell r="I160">
            <v>9129.1929208789061</v>
          </cell>
          <cell r="J160">
            <v>3946.7672906089911</v>
          </cell>
          <cell r="K160">
            <v>597401.36867004726</v>
          </cell>
          <cell r="L160">
            <v>7362781.6303515909</v>
          </cell>
          <cell r="M160"/>
          <cell r="N160"/>
          <cell r="O160"/>
          <cell r="P160"/>
          <cell r="Q160"/>
          <cell r="R160"/>
          <cell r="S160"/>
          <cell r="T160"/>
          <cell r="U160"/>
          <cell r="V160"/>
          <cell r="W160"/>
          <cell r="X160"/>
          <cell r="Y160"/>
          <cell r="Z160"/>
        </row>
        <row r="161">
          <cell r="B161" t="str">
            <v>PERCENT</v>
          </cell>
          <cell r="C161"/>
          <cell r="D161"/>
          <cell r="E161">
            <v>8.6291428426806815E-3</v>
          </cell>
          <cell r="F161">
            <v>0.83449950551953922</v>
          </cell>
          <cell r="G161">
            <v>6.7714932385348148E-2</v>
          </cell>
          <cell r="H161">
            <v>6.2424664108910524E-3</v>
          </cell>
          <cell r="I161">
            <v>1.2399108623900564E-3</v>
          </cell>
          <cell r="J161">
            <v>5.3604296429751958E-4</v>
          </cell>
          <cell r="K161">
            <v>8.1137999014853288E-2</v>
          </cell>
          <cell r="L161">
            <v>1</v>
          </cell>
          <cell r="M161"/>
          <cell r="N161"/>
          <cell r="O161"/>
          <cell r="P161"/>
          <cell r="Q161"/>
          <cell r="R161"/>
          <cell r="S161"/>
          <cell r="T161"/>
          <cell r="U161"/>
          <cell r="V161"/>
          <cell r="W161"/>
          <cell r="X161"/>
          <cell r="Y161"/>
          <cell r="Z161"/>
        </row>
        <row r="162">
          <cell r="B162" t="str">
            <v>GENERAL PLANT</v>
          </cell>
          <cell r="C162"/>
          <cell r="D162"/>
          <cell r="E162">
            <v>6118.4787928039386</v>
          </cell>
          <cell r="F162">
            <v>591700.42960379517</v>
          </cell>
          <cell r="G162">
            <v>48013.155571683325</v>
          </cell>
          <cell r="H162">
            <v>4426.2100009417118</v>
          </cell>
          <cell r="I162">
            <v>879.15665029645788</v>
          </cell>
          <cell r="J162">
            <v>380.08033577379723</v>
          </cell>
          <cell r="K162">
            <v>57530.757725723895</v>
          </cell>
          <cell r="L162">
            <v>709048.26868101838</v>
          </cell>
          <cell r="M162"/>
          <cell r="N162"/>
          <cell r="O162"/>
          <cell r="P162"/>
          <cell r="Q162"/>
          <cell r="R162"/>
          <cell r="S162"/>
          <cell r="T162"/>
          <cell r="U162"/>
          <cell r="V162"/>
          <cell r="W162"/>
          <cell r="X162"/>
          <cell r="Y162"/>
          <cell r="Z162"/>
        </row>
        <row r="163">
          <cell r="B163" t="str">
            <v>CUSTOMER FUNDED  PROJECTS (NET PLANT)</v>
          </cell>
          <cell r="C163"/>
          <cell r="D163"/>
          <cell r="E163"/>
          <cell r="F163">
            <v>-530929.91183768585</v>
          </cell>
          <cell r="G163"/>
          <cell r="H163"/>
          <cell r="I163"/>
          <cell r="J163"/>
          <cell r="K163"/>
          <cell r="L163">
            <v>-530929.91183768585</v>
          </cell>
          <cell r="M163"/>
          <cell r="N163"/>
          <cell r="O163"/>
          <cell r="P163"/>
          <cell r="Q163"/>
          <cell r="R163"/>
          <cell r="S163"/>
          <cell r="T163"/>
          <cell r="U163"/>
          <cell r="V163"/>
          <cell r="W163"/>
          <cell r="X163"/>
          <cell r="Y163"/>
          <cell r="Z163"/>
        </row>
        <row r="164">
          <cell r="B164" t="str">
            <v>ACC REV BAL ADJ - FIBER</v>
          </cell>
          <cell r="C164"/>
          <cell r="D164"/>
          <cell r="E164">
            <v>0</v>
          </cell>
          <cell r="F164">
            <v>0</v>
          </cell>
          <cell r="G164">
            <v>0</v>
          </cell>
          <cell r="H164">
            <v>0</v>
          </cell>
          <cell r="I164">
            <v>0</v>
          </cell>
          <cell r="J164">
            <v>0</v>
          </cell>
          <cell r="K164">
            <v>0</v>
          </cell>
          <cell r="L164">
            <v>0</v>
          </cell>
          <cell r="M164"/>
          <cell r="N164"/>
          <cell r="O164"/>
          <cell r="P164"/>
          <cell r="Q164"/>
          <cell r="R164"/>
          <cell r="S164"/>
          <cell r="T164"/>
          <cell r="U164"/>
          <cell r="V164"/>
          <cell r="W164"/>
          <cell r="X164"/>
          <cell r="Y164"/>
          <cell r="Z164"/>
        </row>
        <row r="165">
          <cell r="B165" t="str">
            <v>ACC REV BAL ADJ - 3AC</v>
          </cell>
          <cell r="C165"/>
          <cell r="D165"/>
          <cell r="E165"/>
          <cell r="F165"/>
          <cell r="G165">
            <v>-59325</v>
          </cell>
          <cell r="H165"/>
          <cell r="I165"/>
          <cell r="J165"/>
          <cell r="K165"/>
          <cell r="L165">
            <v>-59325</v>
          </cell>
          <cell r="M165"/>
          <cell r="N165"/>
          <cell r="O165"/>
          <cell r="P165"/>
          <cell r="Q165"/>
          <cell r="R165"/>
          <cell r="S165"/>
          <cell r="T165"/>
          <cell r="U165"/>
          <cell r="V165"/>
          <cell r="W165"/>
          <cell r="X165"/>
          <cell r="Y165"/>
          <cell r="Z165"/>
        </row>
        <row r="166">
          <cell r="B166" t="str">
            <v>INVESTMENT BASE</v>
          </cell>
          <cell r="C166"/>
          <cell r="D166"/>
          <cell r="E166">
            <v>69652.973200573178</v>
          </cell>
          <cell r="F166">
            <v>6205008.1475428594</v>
          </cell>
          <cell r="G166">
            <v>487258.4158390247</v>
          </cell>
          <cell r="H166">
            <v>50388.12701913718</v>
          </cell>
          <cell r="I166">
            <v>10008.349571175364</v>
          </cell>
          <cell r="J166">
            <v>4326.8476263827879</v>
          </cell>
          <cell r="K166">
            <v>654932.12639577116</v>
          </cell>
          <cell r="L166">
            <v>7481574.9871949237</v>
          </cell>
          <cell r="M166"/>
          <cell r="N166"/>
          <cell r="O166"/>
          <cell r="P166"/>
          <cell r="Q166"/>
          <cell r="R166"/>
          <cell r="S166"/>
          <cell r="T166"/>
          <cell r="U166"/>
          <cell r="V166"/>
          <cell r="W166"/>
          <cell r="X166"/>
          <cell r="Y166"/>
          <cell r="Z166"/>
        </row>
        <row r="167">
          <cell r="B167"/>
          <cell r="C167"/>
          <cell r="D167"/>
          <cell r="E167">
            <v>9.3099345150971027E-3</v>
          </cell>
          <cell r="F167">
            <v>0.82937191141745292</v>
          </cell>
          <cell r="G167">
            <v>6.5127786151043199E-2</v>
          </cell>
          <cell r="H167">
            <v>6.7349625052718033E-3</v>
          </cell>
          <cell r="I167">
            <v>1.3377329757845288E-3</v>
          </cell>
          <cell r="J167">
            <v>5.7833379118546512E-4</v>
          </cell>
          <cell r="K167">
            <v>8.7539338644165049E-2</v>
          </cell>
          <cell r="L167"/>
          <cell r="M167"/>
          <cell r="N167"/>
          <cell r="O167"/>
          <cell r="P167"/>
          <cell r="Q167"/>
          <cell r="R167"/>
          <cell r="S167"/>
          <cell r="T167"/>
          <cell r="U167"/>
          <cell r="V167"/>
          <cell r="W167"/>
          <cell r="X167"/>
          <cell r="Y167"/>
          <cell r="Z167"/>
        </row>
        <row r="168">
          <cell r="B168"/>
          <cell r="C168"/>
          <cell r="D168"/>
          <cell r="E168" t="str">
            <v>GENERATION INTEGRATION</v>
          </cell>
          <cell r="F168" t="str">
            <v>NETWORK</v>
          </cell>
          <cell r="G168" t="str">
            <v>SOUTHERN INTERTIE</v>
          </cell>
          <cell r="H168" t="str">
            <v>EASTERN INTERTIE</v>
          </cell>
          <cell r="I168" t="str">
            <v>UTILITY DELIVERY</v>
          </cell>
          <cell r="J168" t="str">
            <v>DSI DELIVERY</v>
          </cell>
          <cell r="K168" t="str">
            <v>ANCILLARY SERVICES</v>
          </cell>
          <cell r="L168" t="str">
            <v>TOTAL</v>
          </cell>
          <cell r="M168"/>
          <cell r="N168"/>
          <cell r="O168"/>
          <cell r="P168"/>
          <cell r="Q168"/>
          <cell r="R168"/>
          <cell r="S168"/>
          <cell r="T168"/>
          <cell r="U168"/>
          <cell r="V168"/>
          <cell r="W168"/>
          <cell r="X168"/>
          <cell r="Y168"/>
          <cell r="Z168"/>
        </row>
        <row r="169">
          <cell r="B169">
            <v>2032</v>
          </cell>
          <cell r="C169"/>
          <cell r="D169"/>
          <cell r="E169"/>
          <cell r="F169"/>
          <cell r="G169"/>
          <cell r="H169"/>
          <cell r="I169"/>
          <cell r="J169"/>
          <cell r="K169"/>
          <cell r="L169"/>
          <cell r="M169"/>
          <cell r="N169"/>
          <cell r="O169"/>
          <cell r="P169"/>
          <cell r="Q169"/>
          <cell r="R169"/>
          <cell r="S169"/>
          <cell r="T169"/>
          <cell r="U169"/>
          <cell r="V169"/>
          <cell r="W169"/>
          <cell r="X169"/>
          <cell r="Y169"/>
          <cell r="Z169"/>
        </row>
        <row r="170">
          <cell r="B170" t="str">
            <v>NET TRANSMISSION PLANT</v>
          </cell>
          <cell r="C170"/>
          <cell r="D170"/>
          <cell r="E170">
            <v>60142.494407769234</v>
          </cell>
          <cell r="F170">
            <v>6206775.7941184258</v>
          </cell>
          <cell r="G170">
            <v>469122.8404174149</v>
          </cell>
          <cell r="H170">
            <v>42629.917018195469</v>
          </cell>
          <cell r="I170">
            <v>8692.1929208789061</v>
          </cell>
          <cell r="J170">
            <v>3759.7672906089911</v>
          </cell>
          <cell r="K170">
            <v>632622.70260208659</v>
          </cell>
          <cell r="L170">
            <v>7423745.7087753797</v>
          </cell>
          <cell r="M170"/>
          <cell r="N170"/>
          <cell r="O170"/>
          <cell r="P170"/>
          <cell r="Q170"/>
          <cell r="R170"/>
          <cell r="S170"/>
          <cell r="T170"/>
          <cell r="U170"/>
          <cell r="V170"/>
          <cell r="W170"/>
          <cell r="X170"/>
          <cell r="Y170"/>
          <cell r="Z170"/>
        </row>
        <row r="171">
          <cell r="B171" t="str">
            <v>INTANGIBLE PLANT</v>
          </cell>
          <cell r="C171"/>
          <cell r="D171"/>
          <cell r="E171"/>
          <cell r="F171">
            <v>1419.4782896515517</v>
          </cell>
          <cell r="G171">
            <v>1901.6337903484509</v>
          </cell>
          <cell r="H171"/>
          <cell r="I171"/>
          <cell r="J171"/>
          <cell r="K171"/>
          <cell r="L171">
            <v>3321.1120800000026</v>
          </cell>
          <cell r="M171"/>
          <cell r="N171"/>
          <cell r="O171"/>
          <cell r="P171"/>
          <cell r="Q171"/>
          <cell r="R171"/>
          <cell r="S171"/>
          <cell r="T171"/>
          <cell r="U171"/>
          <cell r="V171"/>
          <cell r="W171"/>
          <cell r="X171"/>
          <cell r="Y171"/>
          <cell r="Z171"/>
        </row>
        <row r="172">
          <cell r="B172" t="str">
            <v>REGULATORY ASSET</v>
          </cell>
          <cell r="C172"/>
          <cell r="D172"/>
          <cell r="E172"/>
          <cell r="F172">
            <v>16264.29555283334</v>
          </cell>
          <cell r="G172"/>
          <cell r="H172"/>
          <cell r="I172"/>
          <cell r="J172"/>
          <cell r="K172"/>
          <cell r="L172">
            <v>16264.29555283334</v>
          </cell>
          <cell r="M172"/>
          <cell r="N172"/>
          <cell r="O172"/>
          <cell r="P172"/>
          <cell r="Q172"/>
          <cell r="R172"/>
          <cell r="S172"/>
          <cell r="T172"/>
          <cell r="U172"/>
          <cell r="V172"/>
          <cell r="W172"/>
          <cell r="X172"/>
          <cell r="Y172"/>
          <cell r="Z172"/>
        </row>
        <row r="173">
          <cell r="B173" t="str">
            <v>SUBTOTAL INVESTMENT</v>
          </cell>
          <cell r="C173"/>
          <cell r="D173"/>
          <cell r="E173">
            <v>60142.494407769234</v>
          </cell>
          <cell r="F173">
            <v>6224459.5679609105</v>
          </cell>
          <cell r="G173">
            <v>471024.47420776333</v>
          </cell>
          <cell r="H173">
            <v>42629.917018195469</v>
          </cell>
          <cell r="I173">
            <v>8692.1929208789061</v>
          </cell>
          <cell r="J173">
            <v>3759.7672906089911</v>
          </cell>
          <cell r="K173">
            <v>632622.70260208659</v>
          </cell>
          <cell r="L173">
            <v>7443331.116408213</v>
          </cell>
          <cell r="M173"/>
          <cell r="N173"/>
          <cell r="O173"/>
          <cell r="P173"/>
          <cell r="Q173"/>
          <cell r="R173"/>
          <cell r="S173"/>
          <cell r="T173"/>
          <cell r="U173"/>
          <cell r="V173"/>
          <cell r="W173"/>
          <cell r="X173"/>
          <cell r="Y173"/>
          <cell r="Z173"/>
        </row>
        <row r="174">
          <cell r="B174" t="str">
            <v>PERCENT</v>
          </cell>
          <cell r="C174"/>
          <cell r="D174"/>
          <cell r="E174">
            <v>8.0800509163417491E-3</v>
          </cell>
          <cell r="F174">
            <v>0.83624649644291649</v>
          </cell>
          <cell r="G174">
            <v>6.3281408127797575E-2</v>
          </cell>
          <cell r="H174">
            <v>5.7272632846094018E-3</v>
          </cell>
          <cell r="I174">
            <v>1.1677826479756731E-3</v>
          </cell>
          <cell r="J174">
            <v>5.0511890869947898E-4</v>
          </cell>
          <cell r="K174">
            <v>8.4991879671659609E-2</v>
          </cell>
          <cell r="L174">
            <v>1</v>
          </cell>
          <cell r="M174"/>
          <cell r="N174"/>
          <cell r="O174"/>
          <cell r="P174"/>
          <cell r="Q174"/>
          <cell r="R174"/>
          <cell r="S174"/>
          <cell r="T174"/>
          <cell r="U174"/>
          <cell r="V174"/>
          <cell r="W174"/>
          <cell r="X174"/>
          <cell r="Y174"/>
          <cell r="Z174"/>
        </row>
        <row r="175">
          <cell r="B175" t="str">
            <v>GENERAL PLANT</v>
          </cell>
          <cell r="C175"/>
          <cell r="D175"/>
          <cell r="E175">
            <v>5511.7514320802165</v>
          </cell>
          <cell r="F175">
            <v>570439.82421191491</v>
          </cell>
          <cell r="G175">
            <v>43166.979451455809</v>
          </cell>
          <cell r="H175">
            <v>3906.8134517571111</v>
          </cell>
          <cell r="I175">
            <v>796.5949409205565</v>
          </cell>
          <cell r="J175">
            <v>344.56340649591465</v>
          </cell>
          <cell r="K175">
            <v>57976.629026930983</v>
          </cell>
          <cell r="L175">
            <v>682143.15592155547</v>
          </cell>
          <cell r="M175"/>
          <cell r="N175"/>
          <cell r="O175"/>
          <cell r="P175"/>
          <cell r="Q175"/>
          <cell r="R175"/>
          <cell r="S175"/>
          <cell r="T175"/>
          <cell r="U175"/>
          <cell r="V175"/>
          <cell r="W175"/>
          <cell r="X175"/>
          <cell r="Y175"/>
          <cell r="Z175"/>
        </row>
        <row r="176">
          <cell r="B176" t="str">
            <v>CUSTOMER FUNDED  PROJECTS (NET PLANT)</v>
          </cell>
          <cell r="C176"/>
          <cell r="D176"/>
          <cell r="E176"/>
          <cell r="F176">
            <v>-539386.05723213474</v>
          </cell>
          <cell r="G176"/>
          <cell r="H176"/>
          <cell r="I176"/>
          <cell r="J176"/>
          <cell r="K176"/>
          <cell r="L176">
            <v>-539386.05723213474</v>
          </cell>
          <cell r="M176"/>
          <cell r="N176"/>
          <cell r="O176"/>
          <cell r="P176"/>
          <cell r="Q176"/>
          <cell r="R176"/>
          <cell r="S176"/>
          <cell r="T176"/>
          <cell r="U176"/>
          <cell r="V176"/>
          <cell r="W176"/>
          <cell r="X176"/>
          <cell r="Y176"/>
          <cell r="Z176"/>
        </row>
        <row r="177">
          <cell r="B177" t="str">
            <v>ACC REV BAL ADJ - FIBER</v>
          </cell>
          <cell r="C177"/>
          <cell r="D177"/>
          <cell r="E177">
            <v>0</v>
          </cell>
          <cell r="F177">
            <v>0</v>
          </cell>
          <cell r="G177">
            <v>0</v>
          </cell>
          <cell r="H177">
            <v>0</v>
          </cell>
          <cell r="I177">
            <v>0</v>
          </cell>
          <cell r="J177">
            <v>0</v>
          </cell>
          <cell r="K177">
            <v>0</v>
          </cell>
          <cell r="L177">
            <v>0</v>
          </cell>
          <cell r="M177"/>
          <cell r="N177"/>
          <cell r="O177"/>
          <cell r="P177"/>
          <cell r="Q177"/>
          <cell r="R177"/>
          <cell r="S177"/>
          <cell r="T177"/>
          <cell r="U177"/>
          <cell r="V177"/>
          <cell r="W177"/>
          <cell r="X177"/>
          <cell r="Y177"/>
          <cell r="Z177"/>
        </row>
        <row r="178">
          <cell r="B178" t="str">
            <v>ACC REV BAL ADJ - 3AC</v>
          </cell>
          <cell r="C178"/>
          <cell r="D178"/>
          <cell r="E178"/>
          <cell r="F178"/>
          <cell r="G178">
            <v>-55818</v>
          </cell>
          <cell r="H178"/>
          <cell r="I178"/>
          <cell r="J178"/>
          <cell r="K178"/>
          <cell r="L178">
            <v>-55818</v>
          </cell>
          <cell r="M178"/>
          <cell r="N178"/>
          <cell r="O178"/>
          <cell r="P178"/>
          <cell r="Q178"/>
          <cell r="R178"/>
          <cell r="S178"/>
          <cell r="T178"/>
          <cell r="U178"/>
          <cell r="V178"/>
          <cell r="W178"/>
          <cell r="X178"/>
          <cell r="Y178"/>
          <cell r="Z178"/>
        </row>
        <row r="179">
          <cell r="B179" t="str">
            <v>INVESTMENT BASE</v>
          </cell>
          <cell r="C179"/>
          <cell r="D179"/>
          <cell r="E179">
            <v>65654.245839849449</v>
          </cell>
          <cell r="F179">
            <v>6255513.3349406905</v>
          </cell>
          <cell r="G179">
            <v>458373.45365921914</v>
          </cell>
          <cell r="H179">
            <v>46536.730469952578</v>
          </cell>
          <cell r="I179">
            <v>9488.7878617994629</v>
          </cell>
          <cell r="J179">
            <v>4104.330697104906</v>
          </cell>
          <cell r="K179">
            <v>690599.3316290176</v>
          </cell>
          <cell r="L179">
            <v>7530270.2150976332</v>
          </cell>
          <cell r="M179"/>
          <cell r="N179"/>
          <cell r="O179"/>
          <cell r="P179"/>
          <cell r="Q179"/>
          <cell r="R179"/>
          <cell r="S179"/>
          <cell r="T179"/>
          <cell r="U179"/>
          <cell r="V179"/>
          <cell r="W179"/>
          <cell r="X179"/>
          <cell r="Y179"/>
          <cell r="Z179"/>
        </row>
        <row r="180">
          <cell r="B180"/>
          <cell r="C180"/>
          <cell r="D180"/>
          <cell r="E180">
            <v>8.7187104797670553E-3</v>
          </cell>
          <cell r="F180">
            <v>0.83071565246076429</v>
          </cell>
          <cell r="G180">
            <v>6.0870784256880237E-2</v>
          </cell>
          <cell r="H180">
            <v>6.1799549206945966E-3</v>
          </cell>
          <cell r="I180">
            <v>1.2600859717856003E-3</v>
          </cell>
          <cell r="J180">
            <v>5.4504427860716442E-4</v>
          </cell>
          <cell r="K180">
            <v>9.1709767631501085E-2</v>
          </cell>
          <cell r="L180"/>
          <cell r="M180"/>
          <cell r="N180"/>
          <cell r="O180"/>
          <cell r="P180"/>
          <cell r="Q180"/>
          <cell r="R180"/>
          <cell r="S180"/>
          <cell r="T180"/>
          <cell r="U180"/>
          <cell r="V180"/>
          <cell r="W180"/>
          <cell r="X180"/>
          <cell r="Y180"/>
          <cell r="Z180"/>
        </row>
        <row r="181">
          <cell r="B181"/>
          <cell r="C181"/>
          <cell r="D181"/>
          <cell r="E181" t="str">
            <v>GENERATION INTEGRATION</v>
          </cell>
          <cell r="F181" t="str">
            <v>NETWORK</v>
          </cell>
          <cell r="G181" t="str">
            <v>SOUTHERN INTERTIE</v>
          </cell>
          <cell r="H181" t="str">
            <v>EASTERN INTERTIE</v>
          </cell>
          <cell r="I181" t="str">
            <v>UTILITY DELIVERY</v>
          </cell>
          <cell r="J181" t="str">
            <v>DSI DELIVERY</v>
          </cell>
          <cell r="K181" t="str">
            <v>ANCILLARY SERVICES</v>
          </cell>
          <cell r="L181" t="str">
            <v>TOTAL</v>
          </cell>
          <cell r="M181"/>
          <cell r="N181"/>
          <cell r="O181"/>
          <cell r="P181"/>
          <cell r="Q181"/>
          <cell r="R181"/>
          <cell r="S181"/>
          <cell r="T181"/>
          <cell r="U181"/>
          <cell r="V181"/>
          <cell r="W181"/>
          <cell r="X181"/>
          <cell r="Y181"/>
          <cell r="Z181"/>
        </row>
        <row r="182">
          <cell r="B182">
            <v>2033</v>
          </cell>
          <cell r="C182"/>
          <cell r="D182"/>
          <cell r="E182"/>
          <cell r="F182"/>
          <cell r="G182"/>
          <cell r="H182"/>
          <cell r="I182"/>
          <cell r="J182"/>
          <cell r="K182"/>
          <cell r="L182"/>
          <cell r="M182"/>
          <cell r="N182"/>
          <cell r="O182"/>
          <cell r="P182"/>
          <cell r="Q182"/>
          <cell r="R182"/>
          <cell r="S182"/>
          <cell r="T182"/>
          <cell r="U182"/>
          <cell r="V182"/>
          <cell r="W182"/>
          <cell r="X182"/>
          <cell r="Y182"/>
          <cell r="Z182"/>
        </row>
        <row r="183">
          <cell r="B183" t="str">
            <v>NET TRANSMISSION PLANT</v>
          </cell>
          <cell r="C183"/>
          <cell r="D183"/>
          <cell r="E183">
            <v>56750.494407769234</v>
          </cell>
          <cell r="F183">
            <v>6280003.4633302456</v>
          </cell>
          <cell r="G183">
            <v>441823.8404174149</v>
          </cell>
          <cell r="H183">
            <v>39297.917018195469</v>
          </cell>
          <cell r="I183">
            <v>8255.1929208789061</v>
          </cell>
          <cell r="J183">
            <v>3572.7672906089911</v>
          </cell>
          <cell r="K183">
            <v>665788.19709835097</v>
          </cell>
          <cell r="L183">
            <v>7495491.872483464</v>
          </cell>
          <cell r="M183"/>
          <cell r="N183"/>
          <cell r="O183"/>
          <cell r="P183"/>
          <cell r="Q183"/>
          <cell r="R183"/>
          <cell r="S183"/>
          <cell r="T183"/>
          <cell r="U183"/>
          <cell r="V183"/>
          <cell r="W183"/>
          <cell r="X183"/>
          <cell r="Y183"/>
          <cell r="Z183"/>
        </row>
        <row r="184">
          <cell r="B184" t="str">
            <v>INTANGIBLE PLANT</v>
          </cell>
          <cell r="C184"/>
          <cell r="D184"/>
          <cell r="E184"/>
          <cell r="F184">
            <v>1235.2643492295776</v>
          </cell>
          <cell r="G184">
            <v>1654.847730770425</v>
          </cell>
          <cell r="H184"/>
          <cell r="I184"/>
          <cell r="J184"/>
          <cell r="K184"/>
          <cell r="L184">
            <v>2890.1120800000026</v>
          </cell>
          <cell r="M184"/>
          <cell r="N184"/>
          <cell r="O184"/>
          <cell r="P184"/>
          <cell r="Q184"/>
          <cell r="R184"/>
          <cell r="S184"/>
          <cell r="T184"/>
          <cell r="U184"/>
          <cell r="V184"/>
          <cell r="W184"/>
          <cell r="X184"/>
          <cell r="Y184"/>
          <cell r="Z184"/>
        </row>
        <row r="185">
          <cell r="B185" t="str">
            <v>REGULATORY ASSET</v>
          </cell>
          <cell r="C185"/>
          <cell r="D185"/>
          <cell r="E185"/>
          <cell r="F185" t="e">
            <v>#N/A</v>
          </cell>
          <cell r="G185"/>
          <cell r="H185"/>
          <cell r="I185"/>
          <cell r="J185"/>
          <cell r="K185"/>
          <cell r="L185" t="e">
            <v>#N/A</v>
          </cell>
          <cell r="M185"/>
          <cell r="N185"/>
          <cell r="O185"/>
          <cell r="P185"/>
          <cell r="Q185"/>
          <cell r="R185"/>
          <cell r="S185"/>
          <cell r="T185"/>
          <cell r="U185"/>
          <cell r="V185"/>
          <cell r="W185"/>
          <cell r="X185"/>
          <cell r="Y185"/>
          <cell r="Z185"/>
        </row>
        <row r="186">
          <cell r="B186" t="str">
            <v>SUBTOTAL INVESTMENT</v>
          </cell>
          <cell r="C186"/>
          <cell r="D186"/>
          <cell r="E186">
            <v>56750.494407769234</v>
          </cell>
          <cell r="F186" t="e">
            <v>#N/A</v>
          </cell>
          <cell r="G186">
            <v>443478.68814818532</v>
          </cell>
          <cell r="H186">
            <v>39297.917018195469</v>
          </cell>
          <cell r="I186">
            <v>8255.1929208789061</v>
          </cell>
          <cell r="J186">
            <v>3572.7672906089911</v>
          </cell>
          <cell r="K186">
            <v>665788.19709835097</v>
          </cell>
          <cell r="L186" t="e">
            <v>#N/A</v>
          </cell>
          <cell r="M186"/>
          <cell r="N186"/>
          <cell r="O186"/>
          <cell r="P186"/>
          <cell r="Q186"/>
          <cell r="R186"/>
          <cell r="S186"/>
          <cell r="T186"/>
          <cell r="U186"/>
          <cell r="V186"/>
          <cell r="W186"/>
          <cell r="X186"/>
          <cell r="Y186"/>
          <cell r="Z186"/>
        </row>
        <row r="187">
          <cell r="B187" t="str">
            <v>PERCENT</v>
          </cell>
          <cell r="C187"/>
          <cell r="D187"/>
          <cell r="E187" t="e">
            <v>#N/A</v>
          </cell>
          <cell r="F187" t="e">
            <v>#N/A</v>
          </cell>
          <cell r="G187" t="e">
            <v>#N/A</v>
          </cell>
          <cell r="H187" t="e">
            <v>#N/A</v>
          </cell>
          <cell r="I187" t="e">
            <v>#N/A</v>
          </cell>
          <cell r="J187" t="e">
            <v>#N/A</v>
          </cell>
          <cell r="K187" t="e">
            <v>#N/A</v>
          </cell>
          <cell r="L187" t="e">
            <v>#N/A</v>
          </cell>
          <cell r="M187"/>
          <cell r="N187"/>
          <cell r="O187"/>
          <cell r="P187"/>
          <cell r="Q187"/>
          <cell r="R187"/>
          <cell r="S187"/>
          <cell r="T187"/>
          <cell r="U187"/>
          <cell r="V187"/>
          <cell r="W187"/>
          <cell r="X187"/>
          <cell r="Y187"/>
          <cell r="Z187"/>
        </row>
        <row r="188">
          <cell r="B188" t="str">
            <v>GENERAL PLANT</v>
          </cell>
          <cell r="C188"/>
          <cell r="D188"/>
          <cell r="E188" t="e">
            <v>#N/A</v>
          </cell>
          <cell r="F188" t="e">
            <v>#N/A</v>
          </cell>
          <cell r="G188" t="e">
            <v>#N/A</v>
          </cell>
          <cell r="H188" t="e">
            <v>#N/A</v>
          </cell>
          <cell r="I188" t="e">
            <v>#N/A</v>
          </cell>
          <cell r="J188" t="e">
            <v>#N/A</v>
          </cell>
          <cell r="K188" t="e">
            <v>#N/A</v>
          </cell>
          <cell r="L188">
            <v>648155.46061688312</v>
          </cell>
          <cell r="M188"/>
          <cell r="N188"/>
          <cell r="O188"/>
          <cell r="P188"/>
          <cell r="Q188"/>
          <cell r="R188"/>
          <cell r="S188"/>
          <cell r="T188"/>
          <cell r="U188"/>
          <cell r="V188"/>
          <cell r="W188"/>
          <cell r="X188"/>
          <cell r="Y188"/>
          <cell r="Z188"/>
        </row>
        <row r="189">
          <cell r="B189" t="str">
            <v>CUSTOMER FUNDED  PROJECTS (NET PLANT)</v>
          </cell>
          <cell r="C189"/>
          <cell r="D189"/>
          <cell r="E189"/>
          <cell r="F189">
            <v>-547465.00408357824</v>
          </cell>
          <cell r="G189"/>
          <cell r="H189"/>
          <cell r="I189"/>
          <cell r="J189"/>
          <cell r="K189"/>
          <cell r="L189">
            <v>-547465.00408357824</v>
          </cell>
          <cell r="M189"/>
          <cell r="N189"/>
          <cell r="O189"/>
          <cell r="P189"/>
          <cell r="Q189"/>
          <cell r="R189"/>
          <cell r="S189"/>
          <cell r="T189"/>
          <cell r="U189"/>
          <cell r="V189"/>
          <cell r="W189"/>
          <cell r="X189"/>
          <cell r="Y189"/>
          <cell r="Z189"/>
        </row>
        <row r="190">
          <cell r="B190" t="str">
            <v>ACC REV BAL ADJ - FIBER</v>
          </cell>
          <cell r="C190"/>
          <cell r="D190"/>
          <cell r="E190" t="e">
            <v>#N/A</v>
          </cell>
          <cell r="F190" t="e">
            <v>#N/A</v>
          </cell>
          <cell r="G190" t="e">
            <v>#N/A</v>
          </cell>
          <cell r="H190" t="e">
            <v>#N/A</v>
          </cell>
          <cell r="I190" t="e">
            <v>#N/A</v>
          </cell>
          <cell r="J190" t="e">
            <v>#N/A</v>
          </cell>
          <cell r="K190" t="e">
            <v>#N/A</v>
          </cell>
          <cell r="L190">
            <v>0</v>
          </cell>
          <cell r="M190"/>
          <cell r="N190"/>
          <cell r="O190"/>
          <cell r="P190"/>
          <cell r="Q190"/>
          <cell r="R190"/>
          <cell r="S190"/>
          <cell r="T190"/>
          <cell r="U190"/>
          <cell r="V190"/>
          <cell r="W190"/>
          <cell r="X190"/>
          <cell r="Y190"/>
          <cell r="Z190"/>
        </row>
        <row r="191">
          <cell r="B191" t="str">
            <v>ACC REV BAL ADJ - 3AC</v>
          </cell>
          <cell r="C191"/>
          <cell r="D191"/>
          <cell r="E191"/>
          <cell r="F191"/>
          <cell r="G191">
            <v>-52311</v>
          </cell>
          <cell r="H191"/>
          <cell r="I191"/>
          <cell r="J191"/>
          <cell r="K191"/>
          <cell r="L191">
            <v>-52311</v>
          </cell>
          <cell r="M191"/>
          <cell r="N191"/>
          <cell r="O191"/>
          <cell r="P191"/>
          <cell r="Q191"/>
          <cell r="R191"/>
          <cell r="S191"/>
          <cell r="T191"/>
          <cell r="U191"/>
          <cell r="V191"/>
          <cell r="W191"/>
          <cell r="X191"/>
          <cell r="Y191"/>
          <cell r="Z191"/>
        </row>
        <row r="192">
          <cell r="B192" t="str">
            <v>INVESTMENT BASE</v>
          </cell>
          <cell r="C192"/>
          <cell r="D192"/>
          <cell r="E192" t="e">
            <v>#N/A</v>
          </cell>
          <cell r="F192" t="e">
            <v>#N/A</v>
          </cell>
          <cell r="G192" t="e">
            <v>#N/A</v>
          </cell>
          <cell r="H192" t="e">
            <v>#N/A</v>
          </cell>
          <cell r="I192" t="e">
            <v>#N/A</v>
          </cell>
          <cell r="J192" t="e">
            <v>#N/A</v>
          </cell>
          <cell r="K192" t="e">
            <v>#N/A</v>
          </cell>
          <cell r="L192" t="e">
            <v>#N/A</v>
          </cell>
          <cell r="M192"/>
          <cell r="N192"/>
          <cell r="O192"/>
          <cell r="P192"/>
          <cell r="Q192"/>
          <cell r="R192"/>
          <cell r="S192"/>
          <cell r="T192"/>
          <cell r="U192"/>
          <cell r="V192"/>
          <cell r="W192"/>
          <cell r="X192"/>
          <cell r="Y192"/>
          <cell r="Z192"/>
        </row>
        <row r="193">
          <cell r="B193"/>
          <cell r="C193"/>
          <cell r="D193"/>
          <cell r="E193" t="e">
            <v>#N/A</v>
          </cell>
          <cell r="F193" t="e">
            <v>#N/A</v>
          </cell>
          <cell r="G193" t="e">
            <v>#N/A</v>
          </cell>
          <cell r="H193" t="e">
            <v>#N/A</v>
          </cell>
          <cell r="I193" t="e">
            <v>#N/A</v>
          </cell>
          <cell r="J193" t="e">
            <v>#N/A</v>
          </cell>
          <cell r="K193" t="e">
            <v>#N/A</v>
          </cell>
          <cell r="L193"/>
          <cell r="M193"/>
          <cell r="N193"/>
          <cell r="O193"/>
          <cell r="P193"/>
          <cell r="Q193"/>
          <cell r="R193"/>
          <cell r="S193"/>
          <cell r="T193"/>
          <cell r="U193"/>
          <cell r="V193"/>
          <cell r="W193"/>
          <cell r="X193"/>
          <cell r="Y193"/>
          <cell r="Z193"/>
        </row>
        <row r="194">
          <cell r="B194"/>
          <cell r="C194"/>
          <cell r="D194"/>
          <cell r="E194" t="str">
            <v>GENERATION INTEGRATION</v>
          </cell>
          <cell r="F194" t="str">
            <v>NETWORK</v>
          </cell>
          <cell r="G194" t="str">
            <v>SOUTHERN INTERTIE</v>
          </cell>
          <cell r="H194" t="str">
            <v>EASTERN INTERTIE</v>
          </cell>
          <cell r="I194" t="str">
            <v>UTILITY DELIVERY</v>
          </cell>
          <cell r="J194" t="str">
            <v>DSI DELIVERY</v>
          </cell>
          <cell r="K194" t="str">
            <v>ANCILLARY SERVICES</v>
          </cell>
          <cell r="L194" t="str">
            <v>TOTAL</v>
          </cell>
          <cell r="M194"/>
          <cell r="N194"/>
          <cell r="O194"/>
          <cell r="P194"/>
          <cell r="Q194"/>
          <cell r="R194"/>
          <cell r="S194"/>
          <cell r="T194"/>
          <cell r="U194"/>
          <cell r="V194"/>
          <cell r="W194"/>
          <cell r="X194"/>
          <cell r="Y194"/>
          <cell r="Z194"/>
        </row>
        <row r="195">
          <cell r="B195">
            <v>2034</v>
          </cell>
          <cell r="C195"/>
          <cell r="D195"/>
          <cell r="E195"/>
          <cell r="F195"/>
          <cell r="G195"/>
          <cell r="H195"/>
          <cell r="I195"/>
          <cell r="J195"/>
          <cell r="K195"/>
          <cell r="L195"/>
          <cell r="M195"/>
          <cell r="N195"/>
          <cell r="O195"/>
          <cell r="P195"/>
          <cell r="Q195"/>
          <cell r="R195"/>
          <cell r="S195"/>
          <cell r="T195"/>
          <cell r="U195"/>
          <cell r="V195"/>
          <cell r="W195"/>
          <cell r="X195"/>
          <cell r="Y195"/>
          <cell r="Z195"/>
        </row>
        <row r="196">
          <cell r="B196" t="str">
            <v>NET TRANSMISSION PLANT</v>
          </cell>
          <cell r="C196"/>
          <cell r="D196"/>
          <cell r="E196">
            <v>53358.494407769234</v>
          </cell>
          <cell r="F196">
            <v>6344749.8884064993</v>
          </cell>
          <cell r="G196">
            <v>414524.8404174149</v>
          </cell>
          <cell r="H196">
            <v>35965.917018195469</v>
          </cell>
          <cell r="I196">
            <v>7818.1929208789061</v>
          </cell>
          <cell r="J196">
            <v>3385.7672906089911</v>
          </cell>
          <cell r="K196">
            <v>697904.46145373303</v>
          </cell>
          <cell r="L196">
            <v>7557707.5619150996</v>
          </cell>
          <cell r="M196"/>
          <cell r="N196"/>
          <cell r="O196"/>
          <cell r="P196"/>
          <cell r="Q196"/>
          <cell r="R196"/>
          <cell r="S196"/>
          <cell r="T196"/>
          <cell r="U196"/>
          <cell r="V196"/>
          <cell r="W196"/>
          <cell r="X196"/>
          <cell r="Y196"/>
          <cell r="Z196"/>
        </row>
        <row r="197">
          <cell r="B197" t="str">
            <v>INTANGIBLE PLANT</v>
          </cell>
          <cell r="C197"/>
          <cell r="D197"/>
          <cell r="E197"/>
          <cell r="F197">
            <v>1051.0504088076036</v>
          </cell>
          <cell r="G197">
            <v>1408.061671192399</v>
          </cell>
          <cell r="H197"/>
          <cell r="I197"/>
          <cell r="J197"/>
          <cell r="K197"/>
          <cell r="L197">
            <v>2459.1120800000026</v>
          </cell>
          <cell r="M197"/>
          <cell r="N197"/>
          <cell r="O197"/>
          <cell r="P197"/>
          <cell r="Q197"/>
          <cell r="R197"/>
          <cell r="S197"/>
          <cell r="T197"/>
          <cell r="U197"/>
          <cell r="V197"/>
          <cell r="W197"/>
          <cell r="X197"/>
          <cell r="Y197"/>
          <cell r="Z197"/>
        </row>
        <row r="198">
          <cell r="B198" t="str">
            <v>REGULATORY ASSET</v>
          </cell>
          <cell r="C198"/>
          <cell r="D198"/>
          <cell r="E198"/>
          <cell r="F198" t="e">
            <v>#N/A</v>
          </cell>
          <cell r="G198"/>
          <cell r="H198"/>
          <cell r="I198"/>
          <cell r="J198"/>
          <cell r="K198"/>
          <cell r="L198" t="e">
            <v>#N/A</v>
          </cell>
          <cell r="M198"/>
          <cell r="N198"/>
          <cell r="O198"/>
          <cell r="P198"/>
          <cell r="Q198"/>
          <cell r="R198"/>
          <cell r="S198"/>
          <cell r="T198"/>
          <cell r="U198"/>
          <cell r="V198"/>
          <cell r="W198"/>
          <cell r="X198"/>
          <cell r="Y198"/>
          <cell r="Z198"/>
        </row>
        <row r="199">
          <cell r="B199" t="str">
            <v>SUBTOTAL INVESTMENT</v>
          </cell>
          <cell r="C199"/>
          <cell r="D199"/>
          <cell r="E199">
            <v>53358.494407769234</v>
          </cell>
          <cell r="F199" t="e">
            <v>#N/A</v>
          </cell>
          <cell r="G199">
            <v>415932.90208860731</v>
          </cell>
          <cell r="H199">
            <v>35965.917018195469</v>
          </cell>
          <cell r="I199">
            <v>7818.1929208789061</v>
          </cell>
          <cell r="J199">
            <v>3385.7672906089911</v>
          </cell>
          <cell r="K199">
            <v>697904.46145373303</v>
          </cell>
          <cell r="L199" t="e">
            <v>#N/A</v>
          </cell>
          <cell r="M199"/>
          <cell r="N199"/>
          <cell r="O199"/>
          <cell r="P199"/>
          <cell r="Q199"/>
          <cell r="R199"/>
          <cell r="S199"/>
          <cell r="T199"/>
          <cell r="U199"/>
          <cell r="V199"/>
          <cell r="W199"/>
          <cell r="X199"/>
          <cell r="Y199"/>
          <cell r="Z199"/>
        </row>
        <row r="200">
          <cell r="B200" t="str">
            <v>PERCENT</v>
          </cell>
          <cell r="C200"/>
          <cell r="D200"/>
          <cell r="E200" t="e">
            <v>#N/A</v>
          </cell>
          <cell r="F200" t="e">
            <v>#N/A</v>
          </cell>
          <cell r="G200" t="e">
            <v>#N/A</v>
          </cell>
          <cell r="H200" t="e">
            <v>#N/A</v>
          </cell>
          <cell r="I200" t="e">
            <v>#N/A</v>
          </cell>
          <cell r="J200" t="e">
            <v>#N/A</v>
          </cell>
          <cell r="K200" t="e">
            <v>#N/A</v>
          </cell>
          <cell r="L200" t="e">
            <v>#N/A</v>
          </cell>
          <cell r="M200"/>
          <cell r="N200"/>
          <cell r="O200"/>
          <cell r="P200"/>
          <cell r="Q200"/>
          <cell r="R200"/>
          <cell r="S200"/>
          <cell r="T200"/>
          <cell r="U200"/>
          <cell r="V200"/>
          <cell r="W200"/>
          <cell r="X200"/>
          <cell r="Y200"/>
          <cell r="Z200"/>
        </row>
        <row r="201">
          <cell r="B201" t="str">
            <v>GENERAL PLANT</v>
          </cell>
          <cell r="C201"/>
          <cell r="D201"/>
          <cell r="E201" t="e">
            <v>#N/A</v>
          </cell>
          <cell r="F201" t="e">
            <v>#N/A</v>
          </cell>
          <cell r="G201" t="e">
            <v>#N/A</v>
          </cell>
          <cell r="H201" t="e">
            <v>#N/A</v>
          </cell>
          <cell r="I201" t="e">
            <v>#N/A</v>
          </cell>
          <cell r="J201" t="e">
            <v>#N/A</v>
          </cell>
          <cell r="K201" t="e">
            <v>#N/A</v>
          </cell>
          <cell r="L201">
            <v>610874.9915210898</v>
          </cell>
          <cell r="M201"/>
          <cell r="N201"/>
          <cell r="O201"/>
          <cell r="P201"/>
          <cell r="Q201"/>
          <cell r="R201"/>
          <cell r="S201"/>
          <cell r="T201"/>
          <cell r="U201"/>
          <cell r="V201"/>
          <cell r="W201"/>
          <cell r="X201"/>
          <cell r="Y201"/>
          <cell r="Z201"/>
        </row>
        <row r="202">
          <cell r="B202" t="str">
            <v>CUSTOMER FUNDED  PROJECTS (NET PLANT)</v>
          </cell>
          <cell r="C202"/>
          <cell r="D202"/>
          <cell r="E202"/>
          <cell r="F202">
            <v>-555166.75239201623</v>
          </cell>
          <cell r="G202"/>
          <cell r="H202"/>
          <cell r="I202"/>
          <cell r="J202"/>
          <cell r="K202"/>
          <cell r="L202">
            <v>-555166.75239201623</v>
          </cell>
          <cell r="M202"/>
          <cell r="N202"/>
          <cell r="O202"/>
          <cell r="P202"/>
          <cell r="Q202"/>
          <cell r="R202"/>
          <cell r="S202"/>
          <cell r="T202"/>
          <cell r="U202"/>
          <cell r="V202"/>
          <cell r="W202"/>
          <cell r="X202"/>
          <cell r="Y202"/>
          <cell r="Z202"/>
        </row>
        <row r="203">
          <cell r="B203" t="str">
            <v>ACC REV BAL ADJ - FIBER</v>
          </cell>
          <cell r="C203"/>
          <cell r="D203"/>
          <cell r="E203" t="e">
            <v>#N/A</v>
          </cell>
          <cell r="F203" t="e">
            <v>#N/A</v>
          </cell>
          <cell r="G203" t="e">
            <v>#N/A</v>
          </cell>
          <cell r="H203" t="e">
            <v>#N/A</v>
          </cell>
          <cell r="I203" t="e">
            <v>#N/A</v>
          </cell>
          <cell r="J203" t="e">
            <v>#N/A</v>
          </cell>
          <cell r="K203" t="e">
            <v>#N/A</v>
          </cell>
          <cell r="L203">
            <v>0</v>
          </cell>
          <cell r="M203"/>
          <cell r="N203"/>
          <cell r="O203"/>
          <cell r="P203"/>
          <cell r="Q203"/>
          <cell r="R203"/>
          <cell r="S203"/>
          <cell r="T203"/>
          <cell r="U203"/>
          <cell r="V203"/>
          <cell r="W203"/>
          <cell r="X203"/>
          <cell r="Y203"/>
          <cell r="Z203"/>
        </row>
        <row r="204">
          <cell r="B204" t="str">
            <v>ACC REV BAL ADJ - 3AC</v>
          </cell>
          <cell r="C204"/>
          <cell r="D204"/>
          <cell r="E204"/>
          <cell r="F204"/>
          <cell r="G204">
            <v>-48804</v>
          </cell>
          <cell r="H204"/>
          <cell r="I204"/>
          <cell r="J204"/>
          <cell r="K204"/>
          <cell r="L204">
            <v>-48804</v>
          </cell>
          <cell r="M204"/>
          <cell r="N204"/>
          <cell r="O204"/>
          <cell r="P204"/>
          <cell r="Q204"/>
          <cell r="R204"/>
          <cell r="S204"/>
          <cell r="T204"/>
          <cell r="U204"/>
          <cell r="V204"/>
          <cell r="W204"/>
          <cell r="X204"/>
          <cell r="Y204"/>
          <cell r="Z204"/>
        </row>
        <row r="205">
          <cell r="B205" t="str">
            <v>INVESTMENT BASE</v>
          </cell>
          <cell r="C205"/>
          <cell r="D205"/>
          <cell r="E205" t="e">
            <v>#N/A</v>
          </cell>
          <cell r="F205" t="e">
            <v>#N/A</v>
          </cell>
          <cell r="G205" t="e">
            <v>#N/A</v>
          </cell>
          <cell r="H205" t="e">
            <v>#N/A</v>
          </cell>
          <cell r="I205" t="e">
            <v>#N/A</v>
          </cell>
          <cell r="J205" t="e">
            <v>#N/A</v>
          </cell>
          <cell r="K205" t="e">
            <v>#N/A</v>
          </cell>
          <cell r="L205" t="e">
            <v>#N/A</v>
          </cell>
          <cell r="M205"/>
          <cell r="N205"/>
          <cell r="O205"/>
          <cell r="P205"/>
          <cell r="Q205"/>
          <cell r="R205"/>
          <cell r="S205"/>
          <cell r="T205"/>
          <cell r="U205"/>
          <cell r="V205"/>
          <cell r="W205"/>
          <cell r="X205"/>
          <cell r="Y205"/>
          <cell r="Z205"/>
        </row>
        <row r="206">
          <cell r="B206"/>
          <cell r="C206"/>
          <cell r="D206"/>
          <cell r="E206" t="e">
            <v>#N/A</v>
          </cell>
          <cell r="F206" t="e">
            <v>#N/A</v>
          </cell>
          <cell r="G206" t="e">
            <v>#N/A</v>
          </cell>
          <cell r="H206" t="e">
            <v>#N/A</v>
          </cell>
          <cell r="I206" t="e">
            <v>#N/A</v>
          </cell>
          <cell r="J206" t="e">
            <v>#N/A</v>
          </cell>
          <cell r="K206" t="e">
            <v>#N/A</v>
          </cell>
          <cell r="L206"/>
          <cell r="M206"/>
          <cell r="N206"/>
          <cell r="O206"/>
          <cell r="P206"/>
          <cell r="Q206"/>
          <cell r="R206"/>
          <cell r="S206"/>
          <cell r="T206"/>
          <cell r="U206"/>
          <cell r="V206"/>
          <cell r="W206"/>
          <cell r="X206"/>
          <cell r="Y206"/>
          <cell r="Z206"/>
        </row>
        <row r="207">
          <cell r="B207"/>
          <cell r="C207"/>
          <cell r="D207"/>
          <cell r="E207" t="str">
            <v>GENERATION INTEGRATION</v>
          </cell>
          <cell r="F207" t="str">
            <v>NETWORK</v>
          </cell>
          <cell r="G207" t="str">
            <v>SOUTHERN INTERTIE</v>
          </cell>
          <cell r="H207" t="str">
            <v>EASTERN INTERTIE</v>
          </cell>
          <cell r="I207" t="str">
            <v>UTILITY DELIVERY</v>
          </cell>
          <cell r="J207" t="str">
            <v>DSI DELIVERY</v>
          </cell>
          <cell r="K207" t="str">
            <v>ANCILLARY SERVICES</v>
          </cell>
          <cell r="L207" t="str">
            <v>TOTAL</v>
          </cell>
          <cell r="M207"/>
          <cell r="N207"/>
          <cell r="O207"/>
          <cell r="P207"/>
          <cell r="Q207"/>
          <cell r="R207"/>
          <cell r="S207"/>
          <cell r="T207"/>
          <cell r="U207"/>
          <cell r="V207"/>
          <cell r="W207"/>
          <cell r="X207"/>
          <cell r="Y207"/>
          <cell r="Z207"/>
        </row>
        <row r="208">
          <cell r="B208">
            <v>2035</v>
          </cell>
          <cell r="C208"/>
          <cell r="D208"/>
          <cell r="E208"/>
          <cell r="F208"/>
          <cell r="G208"/>
          <cell r="H208"/>
          <cell r="I208"/>
          <cell r="J208"/>
          <cell r="K208"/>
          <cell r="L208"/>
          <cell r="M208"/>
          <cell r="N208"/>
          <cell r="O208"/>
          <cell r="P208"/>
          <cell r="Q208"/>
          <cell r="R208"/>
          <cell r="S208"/>
          <cell r="T208"/>
          <cell r="U208"/>
          <cell r="V208"/>
          <cell r="W208"/>
          <cell r="X208"/>
          <cell r="Y208"/>
          <cell r="Z208"/>
        </row>
        <row r="209">
          <cell r="B209" t="str">
            <v>NET TRANSMISSION PLANT</v>
          </cell>
          <cell r="C209"/>
          <cell r="D209"/>
          <cell r="E209">
            <v>49966.494407769234</v>
          </cell>
          <cell r="F209">
            <v>6231920.0137543194</v>
          </cell>
          <cell r="G209">
            <v>387225.8404174149</v>
          </cell>
          <cell r="H209">
            <v>32633.917018195469</v>
          </cell>
          <cell r="I209">
            <v>7381.1929208789061</v>
          </cell>
          <cell r="J209">
            <v>3198.7672906089911</v>
          </cell>
          <cell r="K209" t="e">
            <v>#N/A</v>
          </cell>
          <cell r="L209" t="e">
            <v>#N/A</v>
          </cell>
          <cell r="M209"/>
          <cell r="N209"/>
          <cell r="O209"/>
          <cell r="P209"/>
          <cell r="Q209"/>
          <cell r="R209"/>
          <cell r="S209"/>
          <cell r="T209"/>
          <cell r="U209"/>
          <cell r="V209"/>
          <cell r="W209"/>
          <cell r="X209"/>
          <cell r="Y209"/>
          <cell r="Z209"/>
        </row>
        <row r="210">
          <cell r="B210" t="str">
            <v>INTANGIBLE PLANT</v>
          </cell>
          <cell r="C210"/>
          <cell r="D210"/>
          <cell r="E210"/>
          <cell r="F210">
            <v>866.83646838562959</v>
          </cell>
          <cell r="G210">
            <v>1161.275611614373</v>
          </cell>
          <cell r="H210"/>
          <cell r="I210"/>
          <cell r="J210"/>
          <cell r="K210"/>
          <cell r="L210">
            <v>2028.1120800000026</v>
          </cell>
          <cell r="M210"/>
          <cell r="N210"/>
          <cell r="O210"/>
          <cell r="P210"/>
          <cell r="Q210"/>
          <cell r="R210"/>
          <cell r="S210"/>
          <cell r="T210"/>
          <cell r="U210"/>
          <cell r="V210"/>
          <cell r="W210"/>
          <cell r="X210"/>
          <cell r="Y210"/>
          <cell r="Z210"/>
        </row>
        <row r="211">
          <cell r="B211" t="str">
            <v>REGULATORY ASSET</v>
          </cell>
          <cell r="C211"/>
          <cell r="D211"/>
          <cell r="E211"/>
          <cell r="F211" t="e">
            <v>#N/A</v>
          </cell>
          <cell r="G211"/>
          <cell r="H211"/>
          <cell r="I211"/>
          <cell r="J211"/>
          <cell r="K211"/>
          <cell r="L211" t="e">
            <v>#N/A</v>
          </cell>
          <cell r="M211"/>
          <cell r="N211"/>
          <cell r="O211"/>
          <cell r="P211"/>
          <cell r="Q211"/>
          <cell r="R211"/>
          <cell r="S211"/>
          <cell r="T211"/>
          <cell r="U211"/>
          <cell r="V211"/>
          <cell r="W211"/>
          <cell r="X211"/>
          <cell r="Y211"/>
          <cell r="Z211"/>
        </row>
        <row r="212">
          <cell r="B212" t="str">
            <v>SUBTOTAL INVESTMENT</v>
          </cell>
          <cell r="C212"/>
          <cell r="D212"/>
          <cell r="E212">
            <v>49966.494407769234</v>
          </cell>
          <cell r="F212" t="e">
            <v>#N/A</v>
          </cell>
          <cell r="G212">
            <v>388387.1160290293</v>
          </cell>
          <cell r="H212">
            <v>32633.917018195469</v>
          </cell>
          <cell r="I212">
            <v>7381.1929208789061</v>
          </cell>
          <cell r="J212">
            <v>3198.7672906089911</v>
          </cell>
          <cell r="K212" t="e">
            <v>#N/A</v>
          </cell>
          <cell r="L212" t="e">
            <v>#N/A</v>
          </cell>
          <cell r="M212"/>
          <cell r="N212"/>
          <cell r="O212"/>
          <cell r="P212"/>
          <cell r="Q212"/>
          <cell r="R212"/>
          <cell r="S212"/>
          <cell r="T212"/>
          <cell r="U212"/>
          <cell r="V212"/>
          <cell r="W212"/>
          <cell r="X212"/>
          <cell r="Y212"/>
          <cell r="Z212"/>
        </row>
        <row r="213">
          <cell r="B213" t="str">
            <v>PERCENT</v>
          </cell>
          <cell r="C213"/>
          <cell r="D213"/>
          <cell r="E213" t="e">
            <v>#N/A</v>
          </cell>
          <cell r="F213" t="e">
            <v>#N/A</v>
          </cell>
          <cell r="G213" t="e">
            <v>#N/A</v>
          </cell>
          <cell r="H213" t="e">
            <v>#N/A</v>
          </cell>
          <cell r="I213" t="e">
            <v>#N/A</v>
          </cell>
          <cell r="J213" t="e">
            <v>#N/A</v>
          </cell>
          <cell r="K213" t="e">
            <v>#N/A</v>
          </cell>
          <cell r="L213" t="e">
            <v>#N/A</v>
          </cell>
          <cell r="M213"/>
          <cell r="N213"/>
          <cell r="O213"/>
          <cell r="P213"/>
          <cell r="Q213"/>
          <cell r="R213"/>
          <cell r="S213"/>
          <cell r="T213"/>
          <cell r="U213"/>
          <cell r="V213"/>
          <cell r="W213"/>
          <cell r="X213"/>
          <cell r="Y213"/>
          <cell r="Z213"/>
        </row>
        <row r="214">
          <cell r="B214" t="str">
            <v>GENERAL PLANT</v>
          </cell>
          <cell r="C214"/>
          <cell r="D214"/>
          <cell r="E214" t="e">
            <v>#N/A</v>
          </cell>
          <cell r="F214" t="e">
            <v>#N/A</v>
          </cell>
          <cell r="G214" t="e">
            <v>#N/A</v>
          </cell>
          <cell r="H214" t="e">
            <v>#N/A</v>
          </cell>
          <cell r="I214" t="e">
            <v>#N/A</v>
          </cell>
          <cell r="J214" t="e">
            <v>#N/A</v>
          </cell>
          <cell r="K214" t="e">
            <v>#N/A</v>
          </cell>
          <cell r="L214" t="e">
            <v>#N/A</v>
          </cell>
          <cell r="M214"/>
          <cell r="N214"/>
          <cell r="O214"/>
          <cell r="P214"/>
          <cell r="Q214"/>
          <cell r="R214"/>
          <cell r="S214"/>
          <cell r="T214"/>
          <cell r="U214"/>
          <cell r="V214"/>
          <cell r="W214"/>
          <cell r="X214"/>
          <cell r="Y214"/>
          <cell r="Z214"/>
        </row>
        <row r="215">
          <cell r="B215" t="str">
            <v>CUSTOMER FUNDED  PROJECTS (NET PLANT)</v>
          </cell>
          <cell r="C215"/>
          <cell r="D215"/>
          <cell r="E215"/>
          <cell r="F215">
            <v>-562491.30215744884</v>
          </cell>
          <cell r="G215"/>
          <cell r="H215"/>
          <cell r="I215"/>
          <cell r="J215"/>
          <cell r="K215"/>
          <cell r="L215">
            <v>-562491.30215744884</v>
          </cell>
          <cell r="M215"/>
          <cell r="N215"/>
          <cell r="O215"/>
          <cell r="P215"/>
          <cell r="Q215"/>
          <cell r="R215"/>
          <cell r="S215"/>
          <cell r="T215"/>
          <cell r="U215"/>
          <cell r="V215"/>
          <cell r="W215"/>
          <cell r="X215"/>
          <cell r="Y215"/>
          <cell r="Z215"/>
        </row>
        <row r="216">
          <cell r="B216" t="str">
            <v>ACC REV BAL ADJ - FIBER</v>
          </cell>
          <cell r="C216"/>
          <cell r="D216"/>
          <cell r="E216" t="e">
            <v>#N/A</v>
          </cell>
          <cell r="F216" t="e">
            <v>#N/A</v>
          </cell>
          <cell r="G216" t="e">
            <v>#N/A</v>
          </cell>
          <cell r="H216" t="e">
            <v>#N/A</v>
          </cell>
          <cell r="I216" t="e">
            <v>#N/A</v>
          </cell>
          <cell r="J216" t="e">
            <v>#N/A</v>
          </cell>
          <cell r="K216" t="e">
            <v>#N/A</v>
          </cell>
          <cell r="L216">
            <v>0</v>
          </cell>
          <cell r="M216"/>
          <cell r="N216"/>
          <cell r="O216"/>
          <cell r="P216"/>
          <cell r="Q216"/>
          <cell r="R216"/>
          <cell r="S216"/>
          <cell r="T216"/>
          <cell r="U216"/>
          <cell r="V216"/>
          <cell r="W216"/>
          <cell r="X216"/>
          <cell r="Y216"/>
          <cell r="Z216"/>
        </row>
        <row r="217">
          <cell r="B217" t="str">
            <v>ACC REV BAL ADJ - 3AC</v>
          </cell>
          <cell r="C217"/>
          <cell r="D217"/>
          <cell r="E217"/>
          <cell r="F217"/>
          <cell r="G217">
            <v>-45297</v>
          </cell>
          <cell r="H217"/>
          <cell r="I217"/>
          <cell r="J217"/>
          <cell r="K217"/>
          <cell r="L217">
            <v>-45297</v>
          </cell>
          <cell r="M217"/>
          <cell r="N217"/>
          <cell r="O217"/>
          <cell r="P217"/>
          <cell r="Q217"/>
          <cell r="R217"/>
          <cell r="S217"/>
          <cell r="T217"/>
          <cell r="U217"/>
          <cell r="V217"/>
          <cell r="W217"/>
          <cell r="X217"/>
          <cell r="Y217"/>
          <cell r="Z217"/>
        </row>
        <row r="218">
          <cell r="B218" t="str">
            <v>INVESTMENT BASE</v>
          </cell>
          <cell r="C218"/>
          <cell r="D218"/>
          <cell r="E218" t="e">
            <v>#N/A</v>
          </cell>
          <cell r="F218" t="e">
            <v>#N/A</v>
          </cell>
          <cell r="G218" t="e">
            <v>#N/A</v>
          </cell>
          <cell r="H218" t="e">
            <v>#N/A</v>
          </cell>
          <cell r="I218" t="e">
            <v>#N/A</v>
          </cell>
          <cell r="J218" t="e">
            <v>#N/A</v>
          </cell>
          <cell r="K218" t="e">
            <v>#N/A</v>
          </cell>
          <cell r="L218" t="e">
            <v>#N/A</v>
          </cell>
          <cell r="M218"/>
          <cell r="N218"/>
          <cell r="O218"/>
          <cell r="P218"/>
          <cell r="Q218"/>
          <cell r="R218"/>
          <cell r="S218"/>
          <cell r="T218"/>
          <cell r="U218"/>
          <cell r="V218"/>
          <cell r="W218"/>
          <cell r="X218"/>
          <cell r="Y218"/>
          <cell r="Z218"/>
        </row>
        <row r="219">
          <cell r="B219"/>
          <cell r="C219"/>
          <cell r="D219"/>
          <cell r="E219" t="e">
            <v>#N/A</v>
          </cell>
          <cell r="F219" t="e">
            <v>#N/A</v>
          </cell>
          <cell r="G219" t="e">
            <v>#N/A</v>
          </cell>
          <cell r="H219" t="e">
            <v>#N/A</v>
          </cell>
          <cell r="I219" t="e">
            <v>#N/A</v>
          </cell>
          <cell r="J219" t="e">
            <v>#N/A</v>
          </cell>
          <cell r="K219" t="e">
            <v>#N/A</v>
          </cell>
          <cell r="L219"/>
          <cell r="M219"/>
          <cell r="N219"/>
          <cell r="O219"/>
          <cell r="P219"/>
          <cell r="Q219"/>
          <cell r="R219"/>
          <cell r="S219"/>
          <cell r="T219"/>
          <cell r="U219"/>
          <cell r="V219"/>
          <cell r="W219"/>
          <cell r="X219"/>
          <cell r="Y219"/>
          <cell r="Z219"/>
        </row>
        <row r="220">
          <cell r="B220"/>
          <cell r="C220"/>
          <cell r="D220"/>
          <cell r="E220" t="str">
            <v>GENERATION INTEGRATION</v>
          </cell>
          <cell r="F220" t="str">
            <v>NETWORK</v>
          </cell>
          <cell r="G220" t="str">
            <v>SOUTHERN INTERTIE</v>
          </cell>
          <cell r="H220" t="str">
            <v>EASTERN INTERTIE</v>
          </cell>
          <cell r="I220" t="str">
            <v>UTILITY DELIVERY</v>
          </cell>
          <cell r="J220" t="str">
            <v>DSI DELIVERY</v>
          </cell>
          <cell r="K220" t="str">
            <v>ANCILLARY SERVICES</v>
          </cell>
          <cell r="L220" t="str">
            <v>TOTAL</v>
          </cell>
          <cell r="M220"/>
          <cell r="N220"/>
          <cell r="O220"/>
          <cell r="P220"/>
          <cell r="Q220"/>
          <cell r="R220"/>
          <cell r="S220"/>
          <cell r="T220"/>
          <cell r="U220"/>
          <cell r="V220"/>
          <cell r="W220"/>
          <cell r="X220"/>
          <cell r="Y220"/>
          <cell r="Z220"/>
        </row>
        <row r="221">
          <cell r="B221">
            <v>2036</v>
          </cell>
          <cell r="C221"/>
          <cell r="D221"/>
          <cell r="E221"/>
          <cell r="F221"/>
          <cell r="G221"/>
          <cell r="H221"/>
          <cell r="I221"/>
          <cell r="J221"/>
          <cell r="K221"/>
          <cell r="L221"/>
          <cell r="M221"/>
          <cell r="N221"/>
          <cell r="O221"/>
          <cell r="P221"/>
          <cell r="Q221"/>
          <cell r="R221"/>
          <cell r="S221"/>
          <cell r="T221"/>
          <cell r="U221"/>
          <cell r="V221"/>
          <cell r="W221"/>
          <cell r="X221"/>
          <cell r="Y221"/>
          <cell r="Z221"/>
        </row>
        <row r="222">
          <cell r="B222" t="str">
            <v>NET TRANSMISSION PLANT</v>
          </cell>
          <cell r="C222"/>
          <cell r="D222"/>
          <cell r="E222" t="e">
            <v>#N/A</v>
          </cell>
          <cell r="F222" t="e">
            <v>#N/A</v>
          </cell>
          <cell r="G222" t="e">
            <v>#N/A</v>
          </cell>
          <cell r="H222" t="e">
            <v>#N/A</v>
          </cell>
          <cell r="I222" t="e">
            <v>#N/A</v>
          </cell>
          <cell r="J222" t="e">
            <v>#N/A</v>
          </cell>
          <cell r="K222" t="e">
            <v>#N/A</v>
          </cell>
          <cell r="L222" t="e">
            <v>#N/A</v>
          </cell>
          <cell r="M222"/>
          <cell r="N222"/>
          <cell r="O222"/>
          <cell r="P222"/>
          <cell r="Q222"/>
          <cell r="R222"/>
          <cell r="S222"/>
          <cell r="T222"/>
          <cell r="U222"/>
          <cell r="V222"/>
          <cell r="W222"/>
          <cell r="X222"/>
          <cell r="Y222"/>
          <cell r="Z222"/>
        </row>
        <row r="223">
          <cell r="B223" t="str">
            <v>INTANGIBLE PLANT</v>
          </cell>
          <cell r="C223"/>
          <cell r="D223"/>
          <cell r="E223"/>
          <cell r="F223">
            <v>682.62252796365556</v>
          </cell>
          <cell r="G223">
            <v>914.48955203634716</v>
          </cell>
          <cell r="H223"/>
          <cell r="I223"/>
          <cell r="J223"/>
          <cell r="K223"/>
          <cell r="L223">
            <v>1597.1120800000026</v>
          </cell>
          <cell r="M223"/>
          <cell r="N223"/>
          <cell r="O223"/>
          <cell r="P223"/>
          <cell r="Q223"/>
          <cell r="R223"/>
          <cell r="S223"/>
          <cell r="T223"/>
          <cell r="U223"/>
          <cell r="V223"/>
          <cell r="W223"/>
          <cell r="X223"/>
          <cell r="Y223"/>
          <cell r="Z223"/>
        </row>
        <row r="224">
          <cell r="B224" t="str">
            <v>REGULATORY ASSET</v>
          </cell>
          <cell r="C224"/>
          <cell r="D224"/>
          <cell r="E224"/>
          <cell r="F224" t="e">
            <v>#N/A</v>
          </cell>
          <cell r="G224"/>
          <cell r="H224"/>
          <cell r="I224"/>
          <cell r="J224"/>
          <cell r="K224"/>
          <cell r="L224" t="e">
            <v>#N/A</v>
          </cell>
          <cell r="M224"/>
          <cell r="N224"/>
          <cell r="O224"/>
          <cell r="P224"/>
          <cell r="Q224"/>
          <cell r="R224"/>
          <cell r="S224"/>
          <cell r="T224"/>
          <cell r="U224"/>
          <cell r="V224"/>
          <cell r="W224"/>
          <cell r="X224"/>
          <cell r="Y224"/>
          <cell r="Z224"/>
        </row>
        <row r="225">
          <cell r="B225" t="str">
            <v>SUBTOTAL INVESTMENT</v>
          </cell>
          <cell r="C225"/>
          <cell r="D225"/>
          <cell r="E225" t="e">
            <v>#N/A</v>
          </cell>
          <cell r="F225" t="e">
            <v>#N/A</v>
          </cell>
          <cell r="G225" t="e">
            <v>#N/A</v>
          </cell>
          <cell r="H225" t="e">
            <v>#N/A</v>
          </cell>
          <cell r="I225" t="e">
            <v>#N/A</v>
          </cell>
          <cell r="J225" t="e">
            <v>#N/A</v>
          </cell>
          <cell r="K225" t="e">
            <v>#N/A</v>
          </cell>
          <cell r="L225" t="e">
            <v>#N/A</v>
          </cell>
          <cell r="M225"/>
          <cell r="N225"/>
          <cell r="O225"/>
          <cell r="P225"/>
          <cell r="Q225"/>
          <cell r="R225"/>
          <cell r="S225"/>
          <cell r="T225"/>
          <cell r="U225"/>
          <cell r="V225"/>
          <cell r="W225"/>
          <cell r="X225"/>
          <cell r="Y225"/>
          <cell r="Z225"/>
        </row>
        <row r="226">
          <cell r="B226" t="str">
            <v>PERCENT</v>
          </cell>
          <cell r="C226"/>
          <cell r="D226"/>
          <cell r="E226" t="e">
            <v>#N/A</v>
          </cell>
          <cell r="F226" t="e">
            <v>#N/A</v>
          </cell>
          <cell r="G226" t="e">
            <v>#N/A</v>
          </cell>
          <cell r="H226" t="e">
            <v>#N/A</v>
          </cell>
          <cell r="I226" t="e">
            <v>#N/A</v>
          </cell>
          <cell r="J226" t="e">
            <v>#N/A</v>
          </cell>
          <cell r="K226" t="e">
            <v>#N/A</v>
          </cell>
          <cell r="L226" t="e">
            <v>#N/A</v>
          </cell>
          <cell r="M226"/>
          <cell r="N226"/>
          <cell r="O226"/>
          <cell r="P226"/>
          <cell r="Q226"/>
          <cell r="R226"/>
          <cell r="S226"/>
          <cell r="T226"/>
          <cell r="U226"/>
          <cell r="V226"/>
          <cell r="W226"/>
          <cell r="X226"/>
          <cell r="Y226"/>
          <cell r="Z226"/>
        </row>
        <row r="227">
          <cell r="B227" t="str">
            <v>GENERAL PLANT</v>
          </cell>
          <cell r="C227"/>
          <cell r="D227"/>
          <cell r="E227" t="e">
            <v>#N/A</v>
          </cell>
          <cell r="F227" t="e">
            <v>#N/A</v>
          </cell>
          <cell r="G227" t="e">
            <v>#N/A</v>
          </cell>
          <cell r="H227" t="e">
            <v>#N/A</v>
          </cell>
          <cell r="I227" t="e">
            <v>#N/A</v>
          </cell>
          <cell r="J227" t="e">
            <v>#N/A</v>
          </cell>
          <cell r="K227" t="e">
            <v>#N/A</v>
          </cell>
          <cell r="L227" t="e">
            <v>#N/A</v>
          </cell>
          <cell r="M227"/>
          <cell r="N227"/>
          <cell r="O227"/>
          <cell r="P227"/>
          <cell r="Q227"/>
          <cell r="R227"/>
          <cell r="S227"/>
          <cell r="T227"/>
          <cell r="U227"/>
          <cell r="V227"/>
          <cell r="W227"/>
          <cell r="X227"/>
          <cell r="Y227"/>
          <cell r="Z227"/>
        </row>
        <row r="228">
          <cell r="B228" t="str">
            <v>CUSTOMER FUNDED  PROJECTS (NET PLANT)</v>
          </cell>
          <cell r="C228"/>
          <cell r="D228"/>
          <cell r="E228"/>
          <cell r="F228">
            <v>-569438.65337987605</v>
          </cell>
          <cell r="G228"/>
          <cell r="H228"/>
          <cell r="I228"/>
          <cell r="J228"/>
          <cell r="K228"/>
          <cell r="L228">
            <v>-569438.65337987605</v>
          </cell>
          <cell r="M228"/>
          <cell r="N228"/>
          <cell r="O228"/>
          <cell r="P228"/>
          <cell r="Q228"/>
          <cell r="R228"/>
          <cell r="S228"/>
          <cell r="T228"/>
          <cell r="U228"/>
          <cell r="V228"/>
          <cell r="W228"/>
          <cell r="X228"/>
          <cell r="Y228"/>
          <cell r="Z228"/>
        </row>
        <row r="229">
          <cell r="B229" t="str">
            <v>ACC REV BAL ADJ - FIBER</v>
          </cell>
          <cell r="C229"/>
          <cell r="D229"/>
          <cell r="E229" t="e">
            <v>#N/A</v>
          </cell>
          <cell r="F229" t="e">
            <v>#N/A</v>
          </cell>
          <cell r="G229" t="e">
            <v>#N/A</v>
          </cell>
          <cell r="H229" t="e">
            <v>#N/A</v>
          </cell>
          <cell r="I229" t="e">
            <v>#N/A</v>
          </cell>
          <cell r="J229" t="e">
            <v>#N/A</v>
          </cell>
          <cell r="K229" t="e">
            <v>#N/A</v>
          </cell>
          <cell r="L229">
            <v>0</v>
          </cell>
          <cell r="M229"/>
          <cell r="N229"/>
          <cell r="O229"/>
          <cell r="P229"/>
          <cell r="Q229"/>
          <cell r="R229"/>
          <cell r="S229"/>
          <cell r="T229"/>
          <cell r="U229"/>
          <cell r="V229"/>
          <cell r="W229"/>
          <cell r="X229"/>
          <cell r="Y229"/>
          <cell r="Z229"/>
        </row>
        <row r="230">
          <cell r="B230" t="str">
            <v>ACC REV BAL ADJ - 3AC</v>
          </cell>
          <cell r="C230"/>
          <cell r="D230"/>
          <cell r="E230"/>
          <cell r="F230"/>
          <cell r="G230">
            <v>-41790</v>
          </cell>
          <cell r="H230"/>
          <cell r="I230"/>
          <cell r="J230"/>
          <cell r="K230"/>
          <cell r="L230">
            <v>-41790</v>
          </cell>
          <cell r="M230"/>
          <cell r="N230"/>
          <cell r="O230"/>
          <cell r="P230"/>
          <cell r="Q230"/>
          <cell r="R230"/>
          <cell r="S230"/>
          <cell r="T230"/>
          <cell r="U230"/>
          <cell r="V230"/>
          <cell r="W230"/>
          <cell r="X230"/>
          <cell r="Y230"/>
          <cell r="Z230"/>
        </row>
        <row r="231">
          <cell r="B231" t="str">
            <v>INVESTMENT BASE</v>
          </cell>
          <cell r="C231"/>
          <cell r="D231"/>
          <cell r="E231" t="e">
            <v>#N/A</v>
          </cell>
          <cell r="F231" t="e">
            <v>#N/A</v>
          </cell>
          <cell r="G231" t="e">
            <v>#N/A</v>
          </cell>
          <cell r="H231" t="e">
            <v>#N/A</v>
          </cell>
          <cell r="I231" t="e">
            <v>#N/A</v>
          </cell>
          <cell r="J231" t="e">
            <v>#N/A</v>
          </cell>
          <cell r="K231" t="e">
            <v>#N/A</v>
          </cell>
          <cell r="L231" t="e">
            <v>#N/A</v>
          </cell>
          <cell r="M231"/>
          <cell r="N231"/>
          <cell r="O231"/>
          <cell r="P231"/>
          <cell r="Q231"/>
          <cell r="R231"/>
          <cell r="S231"/>
          <cell r="T231"/>
          <cell r="U231"/>
          <cell r="V231"/>
          <cell r="W231"/>
          <cell r="X231"/>
          <cell r="Y231"/>
          <cell r="Z231"/>
        </row>
        <row r="232">
          <cell r="B232"/>
          <cell r="C232"/>
          <cell r="D232"/>
          <cell r="E232" t="e">
            <v>#N/A</v>
          </cell>
          <cell r="F232" t="e">
            <v>#N/A</v>
          </cell>
          <cell r="G232" t="e">
            <v>#N/A</v>
          </cell>
          <cell r="H232" t="e">
            <v>#N/A</v>
          </cell>
          <cell r="I232" t="e">
            <v>#N/A</v>
          </cell>
          <cell r="J232" t="e">
            <v>#N/A</v>
          </cell>
          <cell r="K232" t="e">
            <v>#N/A</v>
          </cell>
          <cell r="L232"/>
          <cell r="M232"/>
          <cell r="N232"/>
          <cell r="O232"/>
          <cell r="P232"/>
          <cell r="Q232"/>
          <cell r="R232"/>
          <cell r="S232"/>
          <cell r="T232"/>
          <cell r="U232"/>
          <cell r="V232"/>
          <cell r="W232"/>
          <cell r="X232"/>
          <cell r="Y232"/>
          <cell r="Z232"/>
        </row>
      </sheetData>
      <sheetData sheetId="13"/>
      <sheetData sheetId="14"/>
      <sheetData sheetId="15"/>
      <sheetData sheetId="16">
        <row r="70">
          <cell r="A70">
            <v>2020</v>
          </cell>
          <cell r="B70"/>
          <cell r="C70">
            <v>0</v>
          </cell>
          <cell r="D70">
            <v>0</v>
          </cell>
          <cell r="E70">
            <v>0</v>
          </cell>
        </row>
        <row r="71">
          <cell r="A71">
            <v>2021</v>
          </cell>
          <cell r="B71"/>
          <cell r="C71">
            <v>76266.376369405814</v>
          </cell>
          <cell r="D71">
            <v>15551.586229594199</v>
          </cell>
          <cell r="E71">
            <v>91817.96259900002</v>
          </cell>
        </row>
        <row r="72">
          <cell r="A72">
            <v>2022</v>
          </cell>
          <cell r="B72"/>
          <cell r="C72">
            <v>76836.326117504796</v>
          </cell>
          <cell r="D72">
            <v>12420.309689900954</v>
          </cell>
          <cell r="E72">
            <v>89256.63580740575</v>
          </cell>
        </row>
        <row r="73">
          <cell r="A73">
            <v>2023</v>
          </cell>
          <cell r="B73"/>
          <cell r="C73">
            <v>75165.97983262378</v>
          </cell>
          <cell r="D73">
            <v>10816</v>
          </cell>
          <cell r="E73">
            <v>85981.97983262378</v>
          </cell>
        </row>
        <row r="74">
          <cell r="A74">
            <v>2024</v>
          </cell>
          <cell r="B74"/>
          <cell r="C74">
            <v>77574</v>
          </cell>
          <cell r="D74">
            <v>12682</v>
          </cell>
          <cell r="E74">
            <v>90256</v>
          </cell>
        </row>
        <row r="75">
          <cell r="A75">
            <v>2025</v>
          </cell>
          <cell r="B75"/>
          <cell r="C75">
            <v>83723</v>
          </cell>
          <cell r="D75">
            <v>14284</v>
          </cell>
          <cell r="E75">
            <v>98007</v>
          </cell>
        </row>
        <row r="76">
          <cell r="A76">
            <v>2026</v>
          </cell>
          <cell r="B76"/>
          <cell r="C76">
            <v>89960</v>
          </cell>
          <cell r="D76">
            <v>15696</v>
          </cell>
          <cell r="E76">
            <v>105656</v>
          </cell>
        </row>
        <row r="77">
          <cell r="A77">
            <v>2027</v>
          </cell>
          <cell r="B77"/>
          <cell r="C77">
            <v>95509.5432</v>
          </cell>
          <cell r="D77">
            <v>17260</v>
          </cell>
          <cell r="E77">
            <v>112769.5432</v>
          </cell>
        </row>
        <row r="78">
          <cell r="A78">
            <v>2028</v>
          </cell>
          <cell r="B78"/>
          <cell r="C78">
            <v>98267.646486500002</v>
          </cell>
          <cell r="D78">
            <v>18774</v>
          </cell>
          <cell r="E78">
            <v>117041.6464865</v>
          </cell>
        </row>
        <row r="79">
          <cell r="A79">
            <v>2029</v>
          </cell>
          <cell r="B79"/>
          <cell r="C79">
            <v>101368</v>
          </cell>
          <cell r="D79">
            <v>20244</v>
          </cell>
          <cell r="E79">
            <v>121612</v>
          </cell>
        </row>
        <row r="80">
          <cell r="A80">
            <v>2030</v>
          </cell>
          <cell r="B80"/>
          <cell r="C80">
            <v>103680.8017129479</v>
          </cell>
          <cell r="D80">
            <v>21722</v>
          </cell>
          <cell r="E80">
            <v>125402.8017129479</v>
          </cell>
        </row>
        <row r="81">
          <cell r="A81">
            <v>2031</v>
          </cell>
          <cell r="B81"/>
          <cell r="C81">
            <v>107191</v>
          </cell>
          <cell r="D81">
            <v>23252</v>
          </cell>
          <cell r="E81">
            <v>130443</v>
          </cell>
        </row>
        <row r="82">
          <cell r="A82">
            <v>2032</v>
          </cell>
          <cell r="B82"/>
          <cell r="C82">
            <v>112510</v>
          </cell>
          <cell r="D82">
            <v>24752</v>
          </cell>
          <cell r="E82">
            <v>137262</v>
          </cell>
        </row>
        <row r="83">
          <cell r="A83">
            <v>2033</v>
          </cell>
          <cell r="B83"/>
          <cell r="C83">
            <v>117716</v>
          </cell>
          <cell r="D83">
            <v>26233</v>
          </cell>
          <cell r="E83">
            <v>143949</v>
          </cell>
        </row>
        <row r="84">
          <cell r="A84">
            <v>2034</v>
          </cell>
          <cell r="B84"/>
          <cell r="C84">
            <v>122277.65943914014</v>
          </cell>
          <cell r="D84">
            <v>27728</v>
          </cell>
          <cell r="E84">
            <v>150005.65943914014</v>
          </cell>
        </row>
        <row r="85">
          <cell r="A85">
            <v>2035</v>
          </cell>
          <cell r="B85"/>
          <cell r="C85" t="e">
            <v>#N/A</v>
          </cell>
          <cell r="D85" t="e">
            <v>#N/A</v>
          </cell>
          <cell r="E85" t="e">
            <v>#N/A</v>
          </cell>
        </row>
        <row r="86">
          <cell r="A86">
            <v>2036</v>
          </cell>
          <cell r="B86"/>
          <cell r="C86" t="e">
            <v>#N/A</v>
          </cell>
          <cell r="D86" t="e">
            <v>#N/A</v>
          </cell>
          <cell r="E86" t="e">
            <v>#N/A</v>
          </cell>
        </row>
        <row r="87">
          <cell r="A87"/>
          <cell r="C87"/>
          <cell r="D87"/>
          <cell r="E87"/>
        </row>
        <row r="88">
          <cell r="A88"/>
          <cell r="C88"/>
          <cell r="D88"/>
          <cell r="E88"/>
        </row>
        <row r="89">
          <cell r="A89"/>
          <cell r="C89"/>
          <cell r="D89"/>
          <cell r="E89"/>
        </row>
        <row r="90">
          <cell r="A90"/>
          <cell r="C90"/>
          <cell r="D90"/>
          <cell r="E90"/>
        </row>
        <row r="91">
          <cell r="A91"/>
        </row>
      </sheetData>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Summary"/>
      <sheetName val="TI - Chart"/>
      <sheetName val="T2 - Investment"/>
      <sheetName val="T4.1 - OperMaint"/>
      <sheetName val="T4.2 - O&amp;M by Category"/>
      <sheetName val="T4.3 - O&amp;M Detail"/>
      <sheetName val="DO NOT USE T3.1 - Future Plant"/>
      <sheetName val="DO NOT USE T3.2 - Future PIS "/>
      <sheetName val="T5 - COE_BOR"/>
      <sheetName val="DO NOT USE Appendix A - Detail"/>
      <sheetName val="DO NOT USE Appendix B - Multi"/>
    </sheetNames>
    <sheetDataSet>
      <sheetData sheetId="0">
        <row r="7">
          <cell r="D7">
            <v>6976923919.7110157</v>
          </cell>
        </row>
      </sheetData>
      <sheetData sheetId="1" refreshError="1"/>
      <sheetData sheetId="2">
        <row r="8">
          <cell r="D8">
            <v>106360222.12072437</v>
          </cell>
        </row>
      </sheetData>
      <sheetData sheetId="3">
        <row r="17">
          <cell r="D17">
            <v>3338123.0956561528</v>
          </cell>
          <cell r="E17">
            <v>108435562.39276817</v>
          </cell>
          <cell r="F17">
            <v>18653483.372581512</v>
          </cell>
          <cell r="G17">
            <v>791083.40744031896</v>
          </cell>
          <cell r="H17">
            <v>1117872.2943054694</v>
          </cell>
          <cell r="I17">
            <v>401348.88860906044</v>
          </cell>
        </row>
        <row r="24">
          <cell r="D24">
            <v>618341.47943144105</v>
          </cell>
          <cell r="E24">
            <v>48832749.636183225</v>
          </cell>
          <cell r="F24">
            <v>2251991.9741894216</v>
          </cell>
          <cell r="G24">
            <v>2106681.6600118983</v>
          </cell>
          <cell r="H24">
            <v>13240.894402875241</v>
          </cell>
          <cell r="I24">
            <v>0</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s Rec Transmission"/>
    </sheetNames>
    <sheetDataSet>
      <sheetData sheetId="0">
        <row r="3">
          <cell r="O3">
            <v>0.96728041801443143</v>
          </cell>
        </row>
        <row r="4">
          <cell r="O4">
            <v>3.2719581985568548E-2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20-E-BPA-05A Table X.1 "/>
      <sheetName val="BP-20-E-BPA-05A Table X.2 "/>
      <sheetName val="BP-20-E-BPA-05A Table X.3"/>
    </sheetNames>
    <sheetDataSet>
      <sheetData sheetId="0"/>
      <sheetData sheetId="1"/>
      <sheetData sheetId="2">
        <row r="6">
          <cell r="G6">
            <v>0.46332183808882632</v>
          </cell>
        </row>
        <row r="7">
          <cell r="G7">
            <v>0.53667816191117357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hyperlink" Target="file://hpsu001vdi1.bud.bpa.gov/cifs_mypc_userdata/UserData/Users/MDE5651/Documents/OfficeRecovery/Excel/Data%20Inputs/BP-20%20IP%20COE%20BOR%20Split%20from%20Alex%20Lennox%20on%20Sept%2018.xlsx" TargetMode="External"/><Relationship Id="rId7" Type="http://schemas.openxmlformats.org/officeDocument/2006/relationships/comments" Target="../comments4.xml"/><Relationship Id="rId2" Type="http://schemas.openxmlformats.org/officeDocument/2006/relationships/hyperlink" Target="file://hpsu001vdi1.bud.bpa.gov/cifs_mypc_userdata/UserData/Users/MDE5651/Documents/OfficeRecovery/Excel/Data%20Inputs/BP-20%20Initial%20Proposal%20Transmission%20Segmentation%20Documentation%20from%20Loescher.xlsx" TargetMode="External"/><Relationship Id="rId1" Type="http://schemas.openxmlformats.org/officeDocument/2006/relationships/hyperlink" Target="file://hpsu001vdi1.bud.bpa.gov/cifs_mypc_userdata/UserData/Users/MDE5651/Documents/OfficeRecovery/Excel/TS%20BP-20%20IP%20Plant%20Model_v3.xlsx" TargetMode="External"/><Relationship Id="rId6" Type="http://schemas.openxmlformats.org/officeDocument/2006/relationships/vmlDrawing" Target="../drawings/vmlDrawing4.vml"/><Relationship Id="rId5" Type="http://schemas.openxmlformats.org/officeDocument/2006/relationships/printerSettings" Target="../printerSettings/printerSettings17.bin"/><Relationship Id="rId4" Type="http://schemas.openxmlformats.org/officeDocument/2006/relationships/hyperlink" Target="file://hpsu001vdi1.bud.bpa.gov/cifs_mypc_userdata/UserData/Users/MDE5651/Documents/OfficeRecovery/Excel/Data%20Inputs/BP-20%20synchronous%20condensing08272018%20from%20John%20Wellschlager.xl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file://hpsu001vdi1.bud.bpa.gov/cifs_mypc_userdata/UserData/Users/MDE5651/Documents/OfficeRecovery/Excel/Data%20Inputs/BP-20%20IP%20COE%20BOR%20Split%20from%20Alex%20Lennox%20on%20Sept%2018.xlsx" TargetMode="External"/><Relationship Id="rId7" Type="http://schemas.openxmlformats.org/officeDocument/2006/relationships/comments" Target="../comments5.xml"/><Relationship Id="rId2" Type="http://schemas.openxmlformats.org/officeDocument/2006/relationships/hyperlink" Target="file://hpsu001vdi1.bud.bpa.gov/cifs_mypc_userdata/UserData/Users/MDE5651/Documents/OfficeRecovery/Excel/Data%20Inputs/BP-20%20Initial%20Proposal%20Transmission%20Segmentation%20Documentation%20from%20Loescher.xlsx" TargetMode="External"/><Relationship Id="rId1" Type="http://schemas.openxmlformats.org/officeDocument/2006/relationships/hyperlink" Target="file://hpsu001vdi1.bud.bpa.gov/cifs_mypc_userdata/UserData/Users/MDE5651/Documents/OfficeRecovery/Excel/TS%20BP-20%20IP%20Plant%20Model_v3.xlsx" TargetMode="External"/><Relationship Id="rId6" Type="http://schemas.openxmlformats.org/officeDocument/2006/relationships/vmlDrawing" Target="../drawings/vmlDrawing5.vml"/><Relationship Id="rId5" Type="http://schemas.openxmlformats.org/officeDocument/2006/relationships/printerSettings" Target="../printerSettings/printerSettings18.bin"/><Relationship Id="rId4" Type="http://schemas.openxmlformats.org/officeDocument/2006/relationships/hyperlink" Target="file://hpsu001vdi1.bud.bpa.gov/cifs_mypc_userdata/UserData/Users/MDE5651/Documents/OfficeRecovery/Excel/Data%20Inputs/BP-20%20synchronous%20condensing08272018%20from%20John%20Wellschlager.xls" TargetMode="External"/></Relationships>
</file>

<file path=xl/worksheets/_rels/sheet12.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file://hpsu001vdi1.bud.bpa.gov/cifs_mypc_userdata/UserData/Users/MDE5651/Documents/OfficeRecovery/Excel/Data%20Inputs/BP-20%20Initial%20Proposal%20Transmission%20Segmentation%20Documentation%20from%20Loescher.xlsx" TargetMode="External"/><Relationship Id="rId7" Type="http://schemas.openxmlformats.org/officeDocument/2006/relationships/vmlDrawing" Target="../drawings/vmlDrawing6.vml"/><Relationship Id="rId2" Type="http://schemas.openxmlformats.org/officeDocument/2006/relationships/hyperlink" Target="file://hpsu001vdi1.bud.bpa.gov/cifs_mypc_userdata/UserData/Users/MDE5651/Documents/OfficeRecovery/Excel/TS%20BP-20%20IP%20Plant%20Model_v3.xlsx" TargetMode="External"/><Relationship Id="rId1" Type="http://schemas.openxmlformats.org/officeDocument/2006/relationships/printerSettings" Target="../printerSettings/printerSettings19.bin"/><Relationship Id="rId6" Type="http://schemas.openxmlformats.org/officeDocument/2006/relationships/printerSettings" Target="../printerSettings/printerSettings20.bin"/><Relationship Id="rId5" Type="http://schemas.openxmlformats.org/officeDocument/2006/relationships/hyperlink" Target="file://hpsu001vdi1.bud.bpa.gov/cifs_mypc_userdata/UserData/Users/MDE5651/Documents/OfficeRecovery/Excel/Data%20Inputs/BP-20%20synchronous%20condensing08272018%20from%20John%20Wellschlager.xls" TargetMode="External"/><Relationship Id="rId4" Type="http://schemas.openxmlformats.org/officeDocument/2006/relationships/hyperlink" Target="file://hpsu001vdi1.bud.bpa.gov/cifs_mypc_userdata/UserData/Users/MDE5651/Documents/OfficeRecovery/Excel/Data%20Inputs/BP-20%20IP%20COE%20BOR%20Split%20from%20Alex%20Lennox%20on%20Sept%2018.xlsx"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hyperlink" Target="file://hpsu001vdi1.bud.bpa.gov/cifs_mypc_userdata/UserData/Users/MDE5651/Documents/OfficeRecovery/Excel/Data%20Inputs/BP-20%20Initial%20Proposal%20Transmission%20Segmentation%20Documentation%20from%20Loescher.xlsx" TargetMode="External"/><Relationship Id="rId2" Type="http://schemas.openxmlformats.org/officeDocument/2006/relationships/hyperlink" Target="file://hpsu001vdi1.bud.bpa.gov/cifs_mypc_userdata/UserData/Users/MDE5651/Documents/OfficeRecovery/Excel/TS%20BP-20%20IP%20Plant%20Model_v3.xlsx" TargetMode="External"/><Relationship Id="rId1" Type="http://schemas.openxmlformats.org/officeDocument/2006/relationships/printerSettings" Target="../printerSettings/printerSettings23.bin"/><Relationship Id="rId6" Type="http://schemas.openxmlformats.org/officeDocument/2006/relationships/printerSettings" Target="../printerSettings/printerSettings24.bin"/><Relationship Id="rId5" Type="http://schemas.openxmlformats.org/officeDocument/2006/relationships/hyperlink" Target="file://hpsu001vdi1.bud.bpa.gov/cifs_mypc_userdata/UserData/Users/MDE5651/Documents/OfficeRecovery/Excel/Data%20Inputs/BP-20%20synchronous%20condensing08272018%20from%20John%20Wellschlager.xls" TargetMode="External"/><Relationship Id="rId4" Type="http://schemas.openxmlformats.org/officeDocument/2006/relationships/hyperlink" Target="file://hpsu001vdi1.bud.bpa.gov/cifs_mypc_userdata/UserData/Users/MDE5651/Documents/OfficeRecovery/Excel/Data%20Inputs/BP-20%20IP%20COE%20BOR%20Split%20from%20Alex%20Lennox%20on%20Sept%2018.xlsx"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file://hpsu001vdi1.bud.bpa.gov/cifs_mypc_userdata/UserData/Users/MDE5651/Documents/OfficeRecovery/Excel/Data%20Inputs/BP-20%20Initial%20Proposal%20Transmission%20Segmentation%20Documentation%20from%20Loescher.xlsx" TargetMode="External"/><Relationship Id="rId2" Type="http://schemas.openxmlformats.org/officeDocument/2006/relationships/hyperlink" Target="file://hpsu001vdi1.bud.bpa.gov/cifs_mypc_userdata/UserData/Users/MDE5651/Documents/OfficeRecovery/Excel/TS%20BP-20%20IP%20Plant%20Model_v3.xlsx" TargetMode="External"/><Relationship Id="rId1" Type="http://schemas.openxmlformats.org/officeDocument/2006/relationships/printerSettings" Target="../printerSettings/printerSettings25.bin"/><Relationship Id="rId6" Type="http://schemas.openxmlformats.org/officeDocument/2006/relationships/printerSettings" Target="../printerSettings/printerSettings26.bin"/><Relationship Id="rId5" Type="http://schemas.openxmlformats.org/officeDocument/2006/relationships/hyperlink" Target="file://hpsu001vdi1.bud.bpa.gov/cifs_mypc_userdata/UserData/Users/MDE5651/Documents/OfficeRecovery/Excel/Data%20Inputs/BP-20%20synchronous%20condensing08272018%20from%20John%20Wellschlager.xls" TargetMode="External"/><Relationship Id="rId4" Type="http://schemas.openxmlformats.org/officeDocument/2006/relationships/hyperlink" Target="file://hpsu001vdi1.bud.bpa.gov/cifs_mypc_userdata/UserData/Users/MDE5651/Documents/OfficeRecovery/Excel/Data%20Inputs/BP-20%20IP%20COE%20BOR%20Split%20from%20Alex%20Lennox%20on%20Sept%2018.xlsx"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file://hpsu001vdi1.bud.bpa.gov/cifs_mypc_userdata/UserData/Users/MDE5651/Documents/OfficeRecovery/Excel/Data%20Inputs/BP-20%20IP%20COE%20BOR%20Split%20from%20Alex%20Lennox%20on%20Sept%2018.xlsx" TargetMode="External"/><Relationship Id="rId7" Type="http://schemas.openxmlformats.org/officeDocument/2006/relationships/comments" Target="../comments7.xml"/><Relationship Id="rId2" Type="http://schemas.openxmlformats.org/officeDocument/2006/relationships/hyperlink" Target="file://hpsu001vdi1.bud.bpa.gov/cifs_mypc_userdata/UserData/Users/MDE5651/Documents/OfficeRecovery/Excel/Data%20Inputs/BP-20%20Initial%20Proposal%20Transmission%20Segmentation%20Documentation%20from%20Loescher.xlsx" TargetMode="External"/><Relationship Id="rId1" Type="http://schemas.openxmlformats.org/officeDocument/2006/relationships/hyperlink" Target="file://hpsu001vdi1.bud.bpa.gov/cifs_mypc_userdata/UserData/Users/MDE5651/Documents/OfficeRecovery/Excel/TS%20BP-20%20IP%20Plant%20Model_v3.xlsx" TargetMode="External"/><Relationship Id="rId6" Type="http://schemas.openxmlformats.org/officeDocument/2006/relationships/vmlDrawing" Target="../drawings/vmlDrawing7.vml"/><Relationship Id="rId5" Type="http://schemas.openxmlformats.org/officeDocument/2006/relationships/printerSettings" Target="../printerSettings/printerSettings27.bin"/><Relationship Id="rId4" Type="http://schemas.openxmlformats.org/officeDocument/2006/relationships/hyperlink" Target="file://hpsu001vdi1.bud.bpa.gov/cifs_mypc_userdata/UserData/Users/MDE5651/Documents/OfficeRecovery/Excel/Data%20Inputs/BP-20%20synchronous%20condensing08272018%20from%20John%20Wellschlager.xl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file://hpsu001vdi1.bud.bpa.gov/cifs_mypc_userdata/UserData/Users/MDE5651/Documents/OfficeRecovery/Excel/Data%20Inputs/BP-20%20IP%20COE%20BOR%20Split%20from%20Alex%20Lennox%20on%20Sept%2018.xlsx" TargetMode="External"/><Relationship Id="rId2" Type="http://schemas.openxmlformats.org/officeDocument/2006/relationships/hyperlink" Target="file://hpsu001vdi1.bud.bpa.gov/cifs_mypc_userdata/UserData/Users/MDE5651/Documents/OfficeRecovery/Excel/Data%20Inputs/BP-20%20Initial%20Proposal%20Transmission%20Segmentation%20Documentation%20from%20Loescher.xlsx" TargetMode="External"/><Relationship Id="rId1" Type="http://schemas.openxmlformats.org/officeDocument/2006/relationships/hyperlink" Target="file://hpsu001vdi1.bud.bpa.gov/cifs_mypc_userdata/UserData/Users/MDE5651/Documents/OfficeRecovery/Excel/TS%20BP-20%20IP%20Plant%20Model_v3.xlsx"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hyperlink" Target="file://hpsu001vdi1.bud.bpa.gov/cifs_mypc_userdata/UserData/Users/MDE5651/Documents/OfficeRecovery/Excel/Data%20Inputs/BP-20%20synchronous%20condensing08272018%20from%20John%20Wellschlager.xls"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59999389629810485"/>
  </sheetPr>
  <dimension ref="A1:AH83"/>
  <sheetViews>
    <sheetView workbookViewId="0">
      <selection sqref="A1:M1"/>
    </sheetView>
  </sheetViews>
  <sheetFormatPr defaultColWidth="9.140625" defaultRowHeight="15"/>
  <cols>
    <col min="1" max="1" width="4.42578125" style="13" customWidth="1"/>
    <col min="2" max="2" width="22.7109375" style="13" customWidth="1"/>
    <col min="3" max="3" width="38" style="13" customWidth="1"/>
    <col min="4" max="13" width="10.7109375" style="13" customWidth="1"/>
    <col min="14" max="16384" width="9.140625" style="13"/>
  </cols>
  <sheetData>
    <row r="1" spans="1:13" ht="18.75">
      <c r="A1" s="401" t="s">
        <v>208</v>
      </c>
      <c r="B1" s="402"/>
      <c r="C1" s="402"/>
      <c r="D1" s="402"/>
      <c r="E1" s="402"/>
      <c r="F1" s="402"/>
      <c r="G1" s="402"/>
      <c r="H1" s="402"/>
      <c r="I1" s="402"/>
      <c r="J1" s="402"/>
      <c r="K1" s="402"/>
      <c r="L1" s="402"/>
      <c r="M1" s="403"/>
    </row>
    <row r="2" spans="1:13" ht="18.75">
      <c r="A2" s="14"/>
      <c r="B2" s="15" t="s">
        <v>116</v>
      </c>
      <c r="C2" s="16" t="s">
        <v>170</v>
      </c>
      <c r="D2" s="17"/>
      <c r="E2" s="17"/>
      <c r="F2" s="17"/>
      <c r="G2" s="17"/>
      <c r="H2" s="17"/>
      <c r="I2" s="17"/>
      <c r="J2" s="17"/>
      <c r="K2" s="404" t="s">
        <v>119</v>
      </c>
      <c r="L2" s="404"/>
      <c r="M2" s="405"/>
    </row>
    <row r="3" spans="1:13" ht="18.75">
      <c r="A3" s="15"/>
      <c r="B3" s="15" t="s">
        <v>115</v>
      </c>
      <c r="C3" s="16" t="s">
        <v>170</v>
      </c>
      <c r="D3" s="17"/>
      <c r="E3" s="1" t="s">
        <v>65</v>
      </c>
      <c r="F3" s="17"/>
      <c r="G3" s="17"/>
      <c r="H3" s="17"/>
      <c r="I3" s="17"/>
      <c r="J3" s="17"/>
      <c r="K3" s="17"/>
      <c r="L3" s="17"/>
      <c r="M3" s="18"/>
    </row>
    <row r="4" spans="1:13">
      <c r="A4" s="14"/>
      <c r="B4" s="15" t="s">
        <v>8</v>
      </c>
      <c r="C4" s="16"/>
      <c r="D4" s="19"/>
      <c r="E4" s="19" t="s">
        <v>57</v>
      </c>
      <c r="F4" s="19"/>
      <c r="G4" s="19"/>
      <c r="H4" s="19"/>
      <c r="I4" s="19"/>
      <c r="J4" s="19"/>
      <c r="K4" s="19"/>
      <c r="L4" s="19"/>
      <c r="M4" s="20"/>
    </row>
    <row r="5" spans="1:13">
      <c r="A5" s="406" t="s">
        <v>10</v>
      </c>
      <c r="B5" s="407"/>
      <c r="C5" s="16"/>
      <c r="D5" s="19"/>
      <c r="E5" s="19" t="s">
        <v>72</v>
      </c>
      <c r="F5" s="19"/>
      <c r="G5" s="21" t="s">
        <v>64</v>
      </c>
      <c r="H5" s="19"/>
      <c r="I5" s="19"/>
      <c r="J5" s="19"/>
      <c r="K5" s="19"/>
      <c r="L5" s="19"/>
      <c r="M5" s="20"/>
    </row>
    <row r="6" spans="1:13">
      <c r="A6" s="395" t="s">
        <v>9</v>
      </c>
      <c r="B6" s="396"/>
      <c r="C6" s="16"/>
      <c r="D6" s="19"/>
      <c r="E6" s="19" t="s">
        <v>97</v>
      </c>
      <c r="F6" s="22"/>
      <c r="G6" s="23" t="s">
        <v>64</v>
      </c>
      <c r="H6" s="19"/>
      <c r="I6" s="19"/>
      <c r="J6" s="19"/>
      <c r="K6" s="19"/>
      <c r="L6" s="19"/>
      <c r="M6" s="20"/>
    </row>
    <row r="7" spans="1:13">
      <c r="A7" s="395" t="s">
        <v>74</v>
      </c>
      <c r="B7" s="396"/>
      <c r="C7" s="16" t="s">
        <v>148</v>
      </c>
      <c r="D7" s="19"/>
      <c r="E7" s="19" t="s">
        <v>182</v>
      </c>
      <c r="F7" s="19"/>
      <c r="G7" s="24" t="s">
        <v>64</v>
      </c>
      <c r="H7" s="19"/>
      <c r="I7" s="19"/>
      <c r="J7" s="19"/>
      <c r="K7" s="19"/>
      <c r="L7" s="19"/>
      <c r="M7" s="20"/>
    </row>
    <row r="8" spans="1:13">
      <c r="A8" s="395" t="s">
        <v>75</v>
      </c>
      <c r="B8" s="396"/>
      <c r="C8" s="16"/>
      <c r="D8" s="19"/>
      <c r="F8" s="22"/>
      <c r="H8" s="19"/>
      <c r="I8" s="19"/>
      <c r="J8" s="19"/>
      <c r="K8" s="19"/>
      <c r="L8" s="19"/>
      <c r="M8" s="20"/>
    </row>
    <row r="9" spans="1:13" ht="15" customHeight="1">
      <c r="A9" s="393" t="s">
        <v>156</v>
      </c>
      <c r="B9" s="394"/>
      <c r="C9" s="2" t="s">
        <v>96</v>
      </c>
      <c r="D9" s="19"/>
      <c r="E9" s="19"/>
      <c r="F9" s="19"/>
      <c r="G9" s="19"/>
      <c r="H9" s="19"/>
      <c r="I9" s="19"/>
      <c r="J9" s="19"/>
      <c r="K9" s="19"/>
      <c r="L9" s="19"/>
      <c r="M9" s="20"/>
    </row>
    <row r="10" spans="1:13">
      <c r="A10" s="395" t="s">
        <v>117</v>
      </c>
      <c r="B10" s="396"/>
      <c r="C10" s="25">
        <v>-18968</v>
      </c>
      <c r="D10" s="19"/>
      <c r="E10" s="397" t="s">
        <v>73</v>
      </c>
      <c r="F10" s="398"/>
      <c r="G10" s="398"/>
      <c r="H10" s="398"/>
      <c r="I10" s="398"/>
      <c r="J10" s="398"/>
      <c r="K10" s="398"/>
      <c r="L10" s="398"/>
      <c r="M10" s="20"/>
    </row>
    <row r="11" spans="1:13">
      <c r="A11" s="6"/>
      <c r="B11" s="7" t="s">
        <v>157</v>
      </c>
      <c r="C11" s="25">
        <v>-6853</v>
      </c>
      <c r="D11" s="19"/>
      <c r="E11" s="397"/>
      <c r="F11" s="398"/>
      <c r="G11" s="398"/>
      <c r="H11" s="398"/>
      <c r="I11" s="398"/>
      <c r="J11" s="398"/>
      <c r="K11" s="398"/>
      <c r="L11" s="398"/>
      <c r="M11" s="20"/>
    </row>
    <row r="12" spans="1:13">
      <c r="A12" s="395" t="s">
        <v>118</v>
      </c>
      <c r="B12" s="396"/>
      <c r="C12" s="26">
        <v>561</v>
      </c>
      <c r="D12" s="19"/>
      <c r="E12" s="398"/>
      <c r="F12" s="398"/>
      <c r="G12" s="398"/>
      <c r="H12" s="398"/>
      <c r="I12" s="398"/>
      <c r="J12" s="398"/>
      <c r="K12" s="398"/>
      <c r="L12" s="398"/>
      <c r="M12" s="20"/>
    </row>
    <row r="13" spans="1:13">
      <c r="A13" s="395" t="s">
        <v>13</v>
      </c>
      <c r="B13" s="396"/>
      <c r="C13" s="27">
        <v>2014</v>
      </c>
      <c r="D13" s="19"/>
      <c r="E13" s="398"/>
      <c r="F13" s="398"/>
      <c r="G13" s="398"/>
      <c r="H13" s="398"/>
      <c r="I13" s="398"/>
      <c r="J13" s="398"/>
      <c r="K13" s="398"/>
      <c r="L13" s="398"/>
      <c r="M13" s="20"/>
    </row>
    <row r="14" spans="1:13">
      <c r="A14" s="399" t="s">
        <v>14</v>
      </c>
      <c r="B14" s="400"/>
      <c r="C14" s="28">
        <v>2023</v>
      </c>
      <c r="D14" s="29"/>
      <c r="E14" s="29"/>
      <c r="F14" s="29"/>
      <c r="G14" s="29"/>
      <c r="H14" s="29"/>
      <c r="I14" s="29"/>
      <c r="J14" s="29"/>
      <c r="K14" s="29"/>
      <c r="L14" s="29"/>
      <c r="M14" s="30"/>
    </row>
    <row r="16" spans="1:13">
      <c r="A16" s="10" t="s">
        <v>37</v>
      </c>
      <c r="B16" s="11"/>
      <c r="C16" s="11"/>
      <c r="D16" s="391" t="s">
        <v>193</v>
      </c>
      <c r="E16" s="391"/>
      <c r="F16" s="391"/>
      <c r="G16" s="391"/>
      <c r="H16" s="391"/>
      <c r="I16" s="391"/>
      <c r="J16" s="391"/>
      <c r="K16" s="391"/>
      <c r="L16" s="391"/>
      <c r="M16" s="392"/>
    </row>
    <row r="17" spans="1:34">
      <c r="A17" s="389"/>
      <c r="B17" s="390"/>
      <c r="C17" s="390"/>
      <c r="D17" s="8">
        <f>C13</f>
        <v>2014</v>
      </c>
      <c r="E17" s="8">
        <f>D17+1</f>
        <v>2015</v>
      </c>
      <c r="F17" s="8">
        <f t="shared" ref="F17:L17" si="0">E17+1</f>
        <v>2016</v>
      </c>
      <c r="G17" s="8">
        <f t="shared" si="0"/>
        <v>2017</v>
      </c>
      <c r="H17" s="8">
        <f t="shared" si="0"/>
        <v>2018</v>
      </c>
      <c r="I17" s="8">
        <f t="shared" si="0"/>
        <v>2019</v>
      </c>
      <c r="J17" s="8">
        <f t="shared" si="0"/>
        <v>2020</v>
      </c>
      <c r="K17" s="8">
        <f t="shared" si="0"/>
        <v>2021</v>
      </c>
      <c r="L17" s="8">
        <f t="shared" si="0"/>
        <v>2022</v>
      </c>
      <c r="M17" s="9">
        <f>L17+1</f>
        <v>2023</v>
      </c>
      <c r="N17" s="8">
        <f>M17+1</f>
        <v>2024</v>
      </c>
      <c r="O17" s="8">
        <f t="shared" ref="O17:AH17" si="1">N17+1</f>
        <v>2025</v>
      </c>
      <c r="P17" s="8">
        <f t="shared" si="1"/>
        <v>2026</v>
      </c>
      <c r="Q17" s="8">
        <f t="shared" si="1"/>
        <v>2027</v>
      </c>
      <c r="R17" s="8">
        <f t="shared" si="1"/>
        <v>2028</v>
      </c>
      <c r="S17" s="8">
        <f t="shared" si="1"/>
        <v>2029</v>
      </c>
      <c r="T17" s="8">
        <f t="shared" si="1"/>
        <v>2030</v>
      </c>
      <c r="U17" s="8">
        <f t="shared" si="1"/>
        <v>2031</v>
      </c>
      <c r="V17" s="8">
        <f t="shared" si="1"/>
        <v>2032</v>
      </c>
      <c r="W17" s="8">
        <f t="shared" si="1"/>
        <v>2033</v>
      </c>
      <c r="X17" s="8">
        <f t="shared" si="1"/>
        <v>2034</v>
      </c>
      <c r="Y17" s="8">
        <f t="shared" si="1"/>
        <v>2035</v>
      </c>
      <c r="Z17" s="8">
        <f t="shared" si="1"/>
        <v>2036</v>
      </c>
      <c r="AA17" s="8">
        <f t="shared" si="1"/>
        <v>2037</v>
      </c>
      <c r="AB17" s="8">
        <f t="shared" si="1"/>
        <v>2038</v>
      </c>
      <c r="AC17" s="8">
        <f t="shared" si="1"/>
        <v>2039</v>
      </c>
      <c r="AD17" s="8">
        <f t="shared" si="1"/>
        <v>2040</v>
      </c>
      <c r="AE17" s="8">
        <f t="shared" si="1"/>
        <v>2041</v>
      </c>
      <c r="AF17" s="8">
        <f t="shared" si="1"/>
        <v>2042</v>
      </c>
      <c r="AG17" s="8">
        <f t="shared" si="1"/>
        <v>2043</v>
      </c>
      <c r="AH17" s="8">
        <f t="shared" si="1"/>
        <v>2044</v>
      </c>
    </row>
    <row r="18" spans="1:34">
      <c r="A18" s="12" t="s">
        <v>194</v>
      </c>
      <c r="B18" s="31"/>
      <c r="C18" s="31"/>
      <c r="D18" s="31"/>
      <c r="E18" s="31"/>
      <c r="F18" s="31"/>
      <c r="G18" s="31"/>
      <c r="H18" s="31"/>
      <c r="I18" s="31"/>
      <c r="J18" s="31"/>
      <c r="K18" s="31"/>
      <c r="L18" s="31"/>
      <c r="M18" s="32"/>
      <c r="N18" s="80"/>
      <c r="O18" s="80"/>
      <c r="P18" s="80"/>
      <c r="Q18" s="80"/>
      <c r="R18" s="80"/>
      <c r="S18" s="80"/>
      <c r="T18" s="80"/>
      <c r="U18" s="80"/>
      <c r="V18" s="80"/>
      <c r="W18" s="80"/>
      <c r="X18" s="80"/>
      <c r="Y18" s="80"/>
      <c r="Z18" s="80"/>
      <c r="AA18" s="80"/>
      <c r="AB18" s="80"/>
      <c r="AC18" s="80"/>
      <c r="AD18" s="80"/>
      <c r="AE18" s="80"/>
      <c r="AF18" s="80"/>
      <c r="AG18" s="80"/>
      <c r="AH18" s="80"/>
    </row>
    <row r="19" spans="1:34">
      <c r="A19" s="33"/>
      <c r="B19" s="34" t="s">
        <v>229</v>
      </c>
      <c r="C19" s="31"/>
      <c r="D19" s="72">
        <f>'Repayment Inputs'!C27-'Repayment Inputs'!C23-'Repayment Inputs'!C24</f>
        <v>0</v>
      </c>
      <c r="E19" s="72" t="e">
        <f>'Repayment Inputs'!#REF!-'Repayment Inputs'!#REF!-'Repayment Inputs'!#REF!</f>
        <v>#REF!</v>
      </c>
      <c r="F19" s="72" t="e">
        <f>'Repayment Inputs'!#REF!-'Repayment Inputs'!#REF!-'Repayment Inputs'!#REF!</f>
        <v>#REF!</v>
      </c>
      <c r="G19" s="72" t="e">
        <f>'Repayment Inputs'!#REF!-'Repayment Inputs'!#REF!-'Repayment Inputs'!#REF!</f>
        <v>#REF!</v>
      </c>
      <c r="H19" s="72" t="e">
        <f>'Repayment Inputs'!#REF!-'Repayment Inputs'!#REF!-'Repayment Inputs'!#REF!</f>
        <v>#REF!</v>
      </c>
      <c r="I19" s="72" t="e">
        <f>'Repayment Inputs'!#REF!-'Repayment Inputs'!#REF!-'Repayment Inputs'!#REF!</f>
        <v>#REF!</v>
      </c>
      <c r="J19" s="72">
        <f>'Repayment Inputs'!D27-'Repayment Inputs'!D23-'Repayment Inputs'!D24</f>
        <v>66066.429000000004</v>
      </c>
      <c r="K19" s="72">
        <f>'Repayment Inputs'!E27-'Repayment Inputs'!E23-'Repayment Inputs'!E24</f>
        <v>63367.245999999999</v>
      </c>
      <c r="L19" s="72">
        <f>'Repayment Inputs'!F27-'Repayment Inputs'!F23-'Repayment Inputs'!F24</f>
        <v>0</v>
      </c>
      <c r="M19" s="72">
        <f>'Repayment Inputs'!G27-'Repayment Inputs'!G23-'Repayment Inputs'!G24</f>
        <v>0</v>
      </c>
      <c r="N19" s="72">
        <f>'Repayment Inputs'!H27-'Repayment Inputs'!H23-'Repayment Inputs'!H24</f>
        <v>0</v>
      </c>
      <c r="O19" s="72">
        <f>'Repayment Inputs'!I27-'Repayment Inputs'!I23-'Repayment Inputs'!I24</f>
        <v>0</v>
      </c>
      <c r="P19" s="72">
        <f>'Repayment Inputs'!J27-'Repayment Inputs'!J23-'Repayment Inputs'!J24</f>
        <v>0</v>
      </c>
      <c r="Q19" s="72">
        <f>'Repayment Inputs'!K27-'Repayment Inputs'!K23-'Repayment Inputs'!K24</f>
        <v>0</v>
      </c>
      <c r="R19" s="72">
        <f>'Repayment Inputs'!L27-'Repayment Inputs'!L23-'Repayment Inputs'!L24</f>
        <v>0</v>
      </c>
      <c r="S19" s="72">
        <f>'Repayment Inputs'!M27-'Repayment Inputs'!M23-'Repayment Inputs'!M24</f>
        <v>0</v>
      </c>
      <c r="T19" s="72">
        <f>'Repayment Inputs'!N27-'Repayment Inputs'!N23-'Repayment Inputs'!N24</f>
        <v>0</v>
      </c>
      <c r="U19" s="72">
        <f>'Repayment Inputs'!O27-'Repayment Inputs'!O23-'Repayment Inputs'!O24</f>
        <v>0</v>
      </c>
      <c r="V19" s="72">
        <f>'Repayment Inputs'!P27-'Repayment Inputs'!P23-'Repayment Inputs'!P24</f>
        <v>0</v>
      </c>
      <c r="W19" s="72">
        <f>'Repayment Inputs'!Q27-'Repayment Inputs'!Q23-'Repayment Inputs'!Q24</f>
        <v>0</v>
      </c>
      <c r="X19" s="72">
        <f>'Repayment Inputs'!R27-'Repayment Inputs'!R23-'Repayment Inputs'!R24</f>
        <v>0</v>
      </c>
      <c r="Y19" s="72">
        <f>'Repayment Inputs'!S27-'Repayment Inputs'!S23-'Repayment Inputs'!S24</f>
        <v>0</v>
      </c>
      <c r="Z19" s="72">
        <f>'Repayment Inputs'!T27-'Repayment Inputs'!T23-'Repayment Inputs'!T24</f>
        <v>0</v>
      </c>
      <c r="AA19" s="72">
        <f>'Repayment Inputs'!U27-'Repayment Inputs'!U23-'Repayment Inputs'!U24</f>
        <v>0</v>
      </c>
      <c r="AB19" s="72">
        <f>'Repayment Inputs'!V27-'Repayment Inputs'!V23-'Repayment Inputs'!V24</f>
        <v>0</v>
      </c>
      <c r="AC19" s="72">
        <f>'Repayment Inputs'!W27-'Repayment Inputs'!W23-'Repayment Inputs'!W24</f>
        <v>0</v>
      </c>
      <c r="AD19" s="72">
        <f>'Repayment Inputs'!X27-'Repayment Inputs'!X23-'Repayment Inputs'!X24</f>
        <v>0</v>
      </c>
      <c r="AE19" s="72">
        <f>'Repayment Inputs'!Y27-'Repayment Inputs'!Y23-'Repayment Inputs'!Y24</f>
        <v>0</v>
      </c>
      <c r="AF19" s="72">
        <f>'Repayment Inputs'!Z27-'Repayment Inputs'!Z23-'Repayment Inputs'!Z24</f>
        <v>0</v>
      </c>
      <c r="AG19" s="72" t="e">
        <f>'Repayment Inputs'!#REF!-'Repayment Inputs'!#REF!-'Repayment Inputs'!#REF!</f>
        <v>#REF!</v>
      </c>
      <c r="AH19" s="72" t="e">
        <f>'Repayment Inputs'!#REF!-'Repayment Inputs'!#REF!-'Repayment Inputs'!#REF!</f>
        <v>#REF!</v>
      </c>
    </row>
    <row r="20" spans="1:34">
      <c r="A20" s="35"/>
      <c r="B20" s="36" t="s">
        <v>196</v>
      </c>
      <c r="C20" s="31"/>
      <c r="D20" s="37">
        <f>'Repayment Inputs'!C46</f>
        <v>0</v>
      </c>
      <c r="E20" s="37" t="e">
        <f>'Repayment Inputs'!#REF!</f>
        <v>#REF!</v>
      </c>
      <c r="F20" s="37" t="e">
        <f>'Repayment Inputs'!#REF!</f>
        <v>#REF!</v>
      </c>
      <c r="G20" s="37" t="e">
        <f>'Repayment Inputs'!#REF!</f>
        <v>#REF!</v>
      </c>
      <c r="H20" s="37" t="e">
        <f>'Repayment Inputs'!#REF!</f>
        <v>#REF!</v>
      </c>
      <c r="I20" s="37" t="e">
        <f>'Repayment Inputs'!#REF!</f>
        <v>#REF!</v>
      </c>
      <c r="J20" s="37">
        <f>'Repayment Inputs'!D46</f>
        <v>96074.671999999991</v>
      </c>
      <c r="K20" s="37">
        <f>'Repayment Inputs'!E46</f>
        <v>96373.269</v>
      </c>
      <c r="L20" s="37">
        <f>'Repayment Inputs'!F46</f>
        <v>0</v>
      </c>
      <c r="M20" s="37">
        <f>'Repayment Inputs'!G46</f>
        <v>0</v>
      </c>
      <c r="N20" s="37">
        <f>'Repayment Inputs'!H46</f>
        <v>0</v>
      </c>
      <c r="O20" s="37">
        <f>'Repayment Inputs'!I46</f>
        <v>0</v>
      </c>
      <c r="P20" s="37">
        <f>'Repayment Inputs'!J46</f>
        <v>0</v>
      </c>
      <c r="Q20" s="37">
        <f>'Repayment Inputs'!K46</f>
        <v>0</v>
      </c>
      <c r="R20" s="37">
        <f>'Repayment Inputs'!L46</f>
        <v>0</v>
      </c>
      <c r="S20" s="37">
        <f>'Repayment Inputs'!M46</f>
        <v>0</v>
      </c>
      <c r="T20" s="37">
        <f>'Repayment Inputs'!N46</f>
        <v>0</v>
      </c>
      <c r="U20" s="37">
        <f>'Repayment Inputs'!O46</f>
        <v>0</v>
      </c>
      <c r="V20" s="37">
        <f>'Repayment Inputs'!P46</f>
        <v>0</v>
      </c>
      <c r="W20" s="37">
        <f>'Repayment Inputs'!Q46</f>
        <v>0</v>
      </c>
      <c r="X20" s="37">
        <f>'Repayment Inputs'!R46</f>
        <v>0</v>
      </c>
      <c r="Y20" s="37">
        <f>'Repayment Inputs'!S46</f>
        <v>0</v>
      </c>
      <c r="Z20" s="37">
        <f>'Repayment Inputs'!T46</f>
        <v>0</v>
      </c>
      <c r="AA20" s="37">
        <f>'Repayment Inputs'!U46</f>
        <v>0</v>
      </c>
      <c r="AB20" s="37">
        <f>'Repayment Inputs'!V46</f>
        <v>0</v>
      </c>
      <c r="AC20" s="37">
        <f>'Repayment Inputs'!W46</f>
        <v>0</v>
      </c>
      <c r="AD20" s="37">
        <f>'Repayment Inputs'!X46</f>
        <v>0</v>
      </c>
      <c r="AE20" s="37">
        <f>'Repayment Inputs'!Y46</f>
        <v>0</v>
      </c>
      <c r="AF20" s="37">
        <f>'Repayment Inputs'!Z46</f>
        <v>0</v>
      </c>
      <c r="AG20" s="37" t="e">
        <f>'Repayment Inputs'!#REF!</f>
        <v>#REF!</v>
      </c>
      <c r="AH20" s="37" t="e">
        <f>'Repayment Inputs'!#REF!</f>
        <v>#REF!</v>
      </c>
    </row>
    <row r="21" spans="1:34">
      <c r="A21" s="35"/>
      <c r="B21" s="36" t="s">
        <v>197</v>
      </c>
      <c r="C21" s="31"/>
      <c r="D21" s="37">
        <f>'Repayment Inputs'!C15-'Repayment Inputs'!C12</f>
        <v>0</v>
      </c>
      <c r="E21" s="37" t="e">
        <f>'Repayment Inputs'!#REF!-'Repayment Inputs'!#REF!</f>
        <v>#REF!</v>
      </c>
      <c r="F21" s="37" t="e">
        <f>'Repayment Inputs'!#REF!-'Repayment Inputs'!#REF!</f>
        <v>#REF!</v>
      </c>
      <c r="G21" s="37" t="e">
        <f>'Repayment Inputs'!#REF!-'Repayment Inputs'!#REF!</f>
        <v>#REF!</v>
      </c>
      <c r="H21" s="37" t="e">
        <f>'Repayment Inputs'!#REF!-'Repayment Inputs'!#REF!</f>
        <v>#REF!</v>
      </c>
      <c r="I21" s="37" t="e">
        <f>'Repayment Inputs'!#REF!-'Repayment Inputs'!#REF!</f>
        <v>#REF!</v>
      </c>
      <c r="J21" s="37">
        <f>'Repayment Inputs'!D15-'Repayment Inputs'!D12</f>
        <v>108123.834</v>
      </c>
      <c r="K21" s="37">
        <f>'Repayment Inputs'!E15-'Repayment Inputs'!E12</f>
        <v>114971.42200000001</v>
      </c>
      <c r="L21" s="37">
        <f>'Repayment Inputs'!F15-'Repayment Inputs'!F12</f>
        <v>0</v>
      </c>
      <c r="M21" s="37">
        <f>'Repayment Inputs'!G15-'Repayment Inputs'!G12</f>
        <v>0</v>
      </c>
      <c r="N21" s="37">
        <f>'Repayment Inputs'!H15-'Repayment Inputs'!H12</f>
        <v>0</v>
      </c>
      <c r="O21" s="37">
        <f>'Repayment Inputs'!I15-'Repayment Inputs'!I12</f>
        <v>0</v>
      </c>
      <c r="P21" s="37">
        <f>'Repayment Inputs'!J15-'Repayment Inputs'!J12</f>
        <v>0</v>
      </c>
      <c r="Q21" s="37">
        <f>'Repayment Inputs'!K15-'Repayment Inputs'!K12</f>
        <v>0</v>
      </c>
      <c r="R21" s="37">
        <f>'Repayment Inputs'!L15-'Repayment Inputs'!L12</f>
        <v>0</v>
      </c>
      <c r="S21" s="37">
        <f>'Repayment Inputs'!M15-'Repayment Inputs'!M12</f>
        <v>0</v>
      </c>
      <c r="T21" s="37">
        <f>'Repayment Inputs'!N15-'Repayment Inputs'!N12</f>
        <v>0</v>
      </c>
      <c r="U21" s="37">
        <f>'Repayment Inputs'!O15-'Repayment Inputs'!O12</f>
        <v>0</v>
      </c>
      <c r="V21" s="37">
        <f>'Repayment Inputs'!P15-'Repayment Inputs'!P12</f>
        <v>0</v>
      </c>
      <c r="W21" s="37">
        <f>'Repayment Inputs'!Q15-'Repayment Inputs'!Q12</f>
        <v>0</v>
      </c>
      <c r="X21" s="37">
        <f>'Repayment Inputs'!R15-'Repayment Inputs'!R12</f>
        <v>0</v>
      </c>
      <c r="Y21" s="37">
        <f>'Repayment Inputs'!S15-'Repayment Inputs'!S12</f>
        <v>0</v>
      </c>
      <c r="Z21" s="37">
        <f>'Repayment Inputs'!T15-'Repayment Inputs'!T12</f>
        <v>0</v>
      </c>
      <c r="AA21" s="37">
        <f>'Repayment Inputs'!U15-'Repayment Inputs'!U12</f>
        <v>0</v>
      </c>
      <c r="AB21" s="37">
        <f>'Repayment Inputs'!V15-'Repayment Inputs'!V12</f>
        <v>0</v>
      </c>
      <c r="AC21" s="37">
        <f>'Repayment Inputs'!W15-'Repayment Inputs'!W12</f>
        <v>0</v>
      </c>
      <c r="AD21" s="37">
        <f>'Repayment Inputs'!X15-'Repayment Inputs'!X12</f>
        <v>0</v>
      </c>
      <c r="AE21" s="37">
        <f>'Repayment Inputs'!Y15-'Repayment Inputs'!Y12</f>
        <v>0</v>
      </c>
      <c r="AF21" s="37">
        <f>'Repayment Inputs'!Z15-'Repayment Inputs'!Z12</f>
        <v>0</v>
      </c>
      <c r="AG21" s="37" t="e">
        <f>'Repayment Inputs'!#REF!-'Repayment Inputs'!#REF!</f>
        <v>#REF!</v>
      </c>
      <c r="AH21" s="37" t="e">
        <f>'Repayment Inputs'!#REF!-'Repayment Inputs'!#REF!</f>
        <v>#REF!</v>
      </c>
    </row>
    <row r="22" spans="1:34">
      <c r="A22" s="35"/>
      <c r="B22" s="36" t="s">
        <v>198</v>
      </c>
      <c r="C22" s="31"/>
      <c r="D22" s="37">
        <f>'Repayment Inputs'!C34</f>
        <v>0</v>
      </c>
      <c r="E22" s="37" t="e">
        <f>'Repayment Inputs'!#REF!</f>
        <v>#REF!</v>
      </c>
      <c r="F22" s="37" t="e">
        <f>'Repayment Inputs'!#REF!</f>
        <v>#REF!</v>
      </c>
      <c r="G22" s="37" t="e">
        <f>'Repayment Inputs'!#REF!</f>
        <v>#REF!</v>
      </c>
      <c r="H22" s="37" t="e">
        <f>'Repayment Inputs'!#REF!</f>
        <v>#REF!</v>
      </c>
      <c r="I22" s="37" t="e">
        <f>'Repayment Inputs'!#REF!</f>
        <v>#REF!</v>
      </c>
      <c r="J22" s="37">
        <f>'Repayment Inputs'!D34</f>
        <v>204197</v>
      </c>
      <c r="K22" s="37">
        <f>'Repayment Inputs'!E34</f>
        <v>209379</v>
      </c>
      <c r="L22" s="37">
        <f>'Repayment Inputs'!F34</f>
        <v>0</v>
      </c>
      <c r="M22" s="37">
        <f>'Repayment Inputs'!G34</f>
        <v>0</v>
      </c>
      <c r="N22" s="37">
        <f>'Repayment Inputs'!H34</f>
        <v>0</v>
      </c>
      <c r="O22" s="37">
        <f>'Repayment Inputs'!I34</f>
        <v>0</v>
      </c>
      <c r="P22" s="37">
        <f>'Repayment Inputs'!J34</f>
        <v>0</v>
      </c>
      <c r="Q22" s="37">
        <f>'Repayment Inputs'!K34</f>
        <v>0</v>
      </c>
      <c r="R22" s="37">
        <f>'Repayment Inputs'!L34</f>
        <v>0</v>
      </c>
      <c r="S22" s="37">
        <f>'Repayment Inputs'!M34</f>
        <v>0</v>
      </c>
      <c r="T22" s="37">
        <f>'Repayment Inputs'!N34</f>
        <v>0</v>
      </c>
      <c r="U22" s="37">
        <f>'Repayment Inputs'!O34</f>
        <v>0</v>
      </c>
      <c r="V22" s="37">
        <f>'Repayment Inputs'!P34</f>
        <v>0</v>
      </c>
      <c r="W22" s="37">
        <f>'Repayment Inputs'!Q34</f>
        <v>0</v>
      </c>
      <c r="X22" s="37">
        <f>'Repayment Inputs'!R34</f>
        <v>0</v>
      </c>
      <c r="Y22" s="37">
        <f>'Repayment Inputs'!S34</f>
        <v>0</v>
      </c>
      <c r="Z22" s="37">
        <f>'Repayment Inputs'!T34</f>
        <v>0</v>
      </c>
      <c r="AA22" s="37">
        <f>'Repayment Inputs'!U34</f>
        <v>0</v>
      </c>
      <c r="AB22" s="37">
        <f>'Repayment Inputs'!V34</f>
        <v>0</v>
      </c>
      <c r="AC22" s="37">
        <f>'Repayment Inputs'!W34</f>
        <v>0</v>
      </c>
      <c r="AD22" s="37">
        <f>'Repayment Inputs'!X34</f>
        <v>0</v>
      </c>
      <c r="AE22" s="37">
        <f>'Repayment Inputs'!Y34</f>
        <v>0</v>
      </c>
      <c r="AF22" s="37">
        <f>'Repayment Inputs'!Z34</f>
        <v>0</v>
      </c>
      <c r="AG22" s="37" t="e">
        <f>'Repayment Inputs'!#REF!</f>
        <v>#REF!</v>
      </c>
      <c r="AH22" s="37" t="e">
        <f>'Repayment Inputs'!#REF!</f>
        <v>#REF!</v>
      </c>
    </row>
    <row r="23" spans="1:34">
      <c r="A23" s="35"/>
      <c r="B23" s="36"/>
      <c r="C23" s="31"/>
      <c r="D23" s="41"/>
      <c r="E23" s="41"/>
      <c r="F23" s="41"/>
      <c r="G23" s="41"/>
      <c r="H23" s="41"/>
      <c r="I23" s="41"/>
      <c r="J23" s="41"/>
      <c r="K23" s="41"/>
      <c r="L23" s="41"/>
      <c r="M23" s="42"/>
    </row>
    <row r="24" spans="1:34">
      <c r="A24" s="12" t="s">
        <v>199</v>
      </c>
      <c r="B24" s="36"/>
      <c r="C24" s="31"/>
      <c r="D24" s="80"/>
      <c r="E24" s="41"/>
      <c r="F24" s="41"/>
      <c r="G24" s="41"/>
      <c r="H24" s="41"/>
      <c r="I24" s="41"/>
      <c r="J24" s="41"/>
      <c r="K24" s="41"/>
      <c r="L24" s="41"/>
      <c r="M24" s="42"/>
    </row>
    <row r="25" spans="1:34">
      <c r="A25" s="35"/>
      <c r="B25" s="36" t="s">
        <v>80</v>
      </c>
      <c r="C25" s="31"/>
      <c r="D25" s="38"/>
      <c r="E25" s="38"/>
      <c r="F25" s="38"/>
      <c r="G25" s="38"/>
      <c r="H25" s="38"/>
      <c r="I25" s="38"/>
      <c r="J25" s="38"/>
      <c r="K25" s="38"/>
      <c r="L25" s="38"/>
      <c r="M25" s="39"/>
    </row>
    <row r="26" spans="1:34">
      <c r="A26" s="40"/>
      <c r="B26" s="34" t="s">
        <v>195</v>
      </c>
      <c r="C26" s="31"/>
      <c r="D26" s="41" t="e">
        <f>D20+D21+D22+#REF!+D23+#REF!+D25</f>
        <v>#REF!</v>
      </c>
      <c r="E26" s="41" t="e">
        <f>E20+E21+E22+E23+E24+#REF!+E25</f>
        <v>#REF!</v>
      </c>
      <c r="F26" s="41" t="e">
        <f>F20+F21+F22+F23+F24+#REF!+F25</f>
        <v>#REF!</v>
      </c>
      <c r="G26" s="41" t="e">
        <f>G20+G21+G22+G23+G24+#REF!+G25</f>
        <v>#REF!</v>
      </c>
      <c r="H26" s="41" t="e">
        <f>H20+H21+H22+H23+H24+#REF!+H25</f>
        <v>#REF!</v>
      </c>
      <c r="I26" s="41" t="e">
        <f>I20+I21+I22+I23+I24+#REF!+I25</f>
        <v>#REF!</v>
      </c>
      <c r="J26" s="41" t="e">
        <f>J20+J21+J22+J23+J24+#REF!+J25</f>
        <v>#REF!</v>
      </c>
      <c r="K26" s="41" t="e">
        <f>K20+K21+K22+K23+K24+#REF!+K25</f>
        <v>#REF!</v>
      </c>
      <c r="L26" s="41" t="e">
        <f>L20+L21+L22+L23+L24+#REF!+L25</f>
        <v>#REF!</v>
      </c>
      <c r="M26" s="42" t="e">
        <f>M20+M21+M22+M23+M24+#REF!+M25</f>
        <v>#REF!</v>
      </c>
    </row>
    <row r="27" spans="1:34">
      <c r="A27" s="35"/>
      <c r="B27" s="34" t="s">
        <v>200</v>
      </c>
      <c r="C27" s="31"/>
      <c r="D27" s="31"/>
      <c r="E27" s="31"/>
      <c r="F27" s="31"/>
      <c r="G27" s="31"/>
      <c r="H27" s="31"/>
      <c r="I27" s="31"/>
      <c r="J27" s="31"/>
      <c r="K27" s="31"/>
      <c r="L27" s="31"/>
      <c r="M27" s="32"/>
    </row>
    <row r="28" spans="1:34">
      <c r="A28" s="43"/>
      <c r="B28" s="34" t="s">
        <v>201</v>
      </c>
      <c r="C28" s="31"/>
      <c r="D28" s="31"/>
      <c r="E28" s="31"/>
      <c r="F28" s="31"/>
      <c r="G28" s="31"/>
      <c r="H28" s="31"/>
      <c r="I28" s="31"/>
      <c r="J28" s="31"/>
      <c r="K28" s="31"/>
      <c r="L28" s="31"/>
      <c r="M28" s="32"/>
    </row>
    <row r="29" spans="1:34">
      <c r="A29" s="43"/>
      <c r="B29" s="34"/>
      <c r="C29" s="31"/>
      <c r="D29" s="31"/>
      <c r="E29" s="31"/>
      <c r="F29" s="31"/>
      <c r="G29" s="31"/>
      <c r="H29" s="31"/>
      <c r="I29" s="31"/>
      <c r="J29" s="31"/>
      <c r="K29" s="31"/>
      <c r="L29" s="31"/>
      <c r="M29" s="32"/>
    </row>
    <row r="30" spans="1:34">
      <c r="A30" s="91" t="s">
        <v>213</v>
      </c>
      <c r="B30" s="34"/>
      <c r="C30" s="31"/>
      <c r="D30" s="8" t="s">
        <v>214</v>
      </c>
      <c r="E30" s="8" t="s">
        <v>215</v>
      </c>
      <c r="F30" s="8" t="s">
        <v>216</v>
      </c>
      <c r="G30" s="8" t="s">
        <v>217</v>
      </c>
      <c r="H30" s="8" t="s">
        <v>218</v>
      </c>
      <c r="I30" s="8" t="s">
        <v>219</v>
      </c>
      <c r="J30" s="8" t="s">
        <v>220</v>
      </c>
      <c r="K30" s="8" t="s">
        <v>221</v>
      </c>
      <c r="L30" s="8" t="s">
        <v>222</v>
      </c>
      <c r="M30" s="9" t="s">
        <v>223</v>
      </c>
      <c r="N30" s="8" t="s">
        <v>224</v>
      </c>
      <c r="O30" s="8" t="s">
        <v>225</v>
      </c>
      <c r="P30" s="8" t="s">
        <v>226</v>
      </c>
      <c r="Q30" s="8" t="s">
        <v>227</v>
      </c>
      <c r="R30" s="8" t="s">
        <v>228</v>
      </c>
    </row>
    <row r="31" spans="1:34">
      <c r="A31" s="35"/>
      <c r="B31" s="44"/>
      <c r="C31" s="31"/>
      <c r="D31" s="31"/>
      <c r="E31" s="31"/>
      <c r="F31" s="31"/>
      <c r="G31" s="31"/>
      <c r="H31" s="31"/>
      <c r="I31" s="31"/>
      <c r="J31" s="31"/>
      <c r="K31" s="31"/>
      <c r="L31" s="31"/>
      <c r="M31" s="32"/>
    </row>
    <row r="32" spans="1:34">
      <c r="A32" s="35"/>
      <c r="B32" s="45" t="s">
        <v>202</v>
      </c>
      <c r="C32" s="31"/>
      <c r="D32" s="41"/>
      <c r="E32" s="41"/>
      <c r="F32" s="41"/>
      <c r="G32" s="41"/>
      <c r="H32" s="41"/>
      <c r="I32" s="41"/>
      <c r="J32" s="41"/>
      <c r="K32" s="41"/>
      <c r="L32" s="41"/>
      <c r="M32" s="42"/>
    </row>
    <row r="33" spans="1:13">
      <c r="A33" s="35"/>
      <c r="B33" s="46" t="s">
        <v>203</v>
      </c>
      <c r="C33" s="31"/>
      <c r="D33" s="41"/>
      <c r="E33" s="41"/>
      <c r="F33" s="41"/>
      <c r="G33" s="41"/>
      <c r="H33" s="41"/>
      <c r="I33" s="41"/>
      <c r="J33" s="41"/>
      <c r="K33" s="41"/>
      <c r="L33" s="41"/>
      <c r="M33" s="42"/>
    </row>
    <row r="34" spans="1:13">
      <c r="A34" s="35"/>
      <c r="B34" s="46"/>
      <c r="C34" s="31"/>
      <c r="D34" s="41"/>
      <c r="E34" s="41"/>
      <c r="F34" s="41"/>
      <c r="G34" s="41"/>
      <c r="H34" s="41"/>
      <c r="I34" s="41"/>
      <c r="J34" s="41"/>
      <c r="K34" s="41"/>
      <c r="L34" s="41"/>
      <c r="M34" s="42"/>
    </row>
    <row r="35" spans="1:13">
      <c r="A35" s="35"/>
      <c r="B35" s="45" t="s">
        <v>204</v>
      </c>
      <c r="C35" s="31"/>
      <c r="D35" s="41"/>
      <c r="E35" s="41"/>
      <c r="F35" s="41"/>
      <c r="G35" s="41"/>
      <c r="H35" s="41"/>
      <c r="I35" s="41"/>
      <c r="J35" s="41"/>
      <c r="K35" s="41"/>
      <c r="L35" s="41"/>
      <c r="M35" s="42"/>
    </row>
    <row r="36" spans="1:13">
      <c r="A36" s="35"/>
      <c r="B36" s="46" t="s">
        <v>149</v>
      </c>
      <c r="C36" s="31"/>
      <c r="D36" s="41"/>
      <c r="E36" s="41"/>
      <c r="F36" s="41"/>
      <c r="G36" s="41"/>
      <c r="H36" s="41"/>
      <c r="I36" s="41"/>
      <c r="J36" s="41"/>
      <c r="K36" s="41"/>
      <c r="L36" s="41"/>
      <c r="M36" s="42"/>
    </row>
    <row r="37" spans="1:13">
      <c r="A37" s="35"/>
      <c r="B37" s="47" t="s">
        <v>205</v>
      </c>
      <c r="C37" s="31"/>
      <c r="D37" s="41"/>
      <c r="E37" s="41"/>
      <c r="F37" s="41"/>
      <c r="G37" s="41"/>
      <c r="H37" s="41"/>
      <c r="I37" s="41"/>
      <c r="J37" s="41"/>
      <c r="K37" s="41"/>
      <c r="L37" s="41"/>
      <c r="M37" s="42"/>
    </row>
    <row r="38" spans="1:13">
      <c r="A38" s="35"/>
      <c r="B38" s="48" t="s">
        <v>206</v>
      </c>
      <c r="C38" s="31"/>
      <c r="D38" s="41"/>
      <c r="E38" s="41"/>
      <c r="F38" s="41"/>
      <c r="G38" s="41"/>
      <c r="H38" s="41"/>
      <c r="I38" s="41"/>
      <c r="J38" s="41"/>
      <c r="K38" s="41"/>
      <c r="L38" s="41"/>
      <c r="M38" s="42"/>
    </row>
    <row r="39" spans="1:13">
      <c r="A39" s="35"/>
      <c r="B39" s="49" t="s">
        <v>207</v>
      </c>
      <c r="C39" s="31"/>
      <c r="D39" s="41"/>
      <c r="E39" s="41"/>
      <c r="F39" s="41"/>
      <c r="G39" s="41"/>
      <c r="H39" s="41"/>
      <c r="I39" s="41"/>
      <c r="J39" s="41"/>
      <c r="K39" s="41"/>
      <c r="L39" s="41"/>
      <c r="M39" s="42"/>
    </row>
    <row r="40" spans="1:13">
      <c r="A40" s="35"/>
      <c r="B40" s="50"/>
      <c r="C40" s="31"/>
      <c r="D40" s="41"/>
      <c r="E40" s="41"/>
      <c r="F40" s="41"/>
      <c r="G40" s="41"/>
      <c r="H40" s="41"/>
      <c r="I40" s="41"/>
      <c r="J40" s="41"/>
      <c r="K40" s="41"/>
      <c r="L40" s="41"/>
      <c r="M40" s="42"/>
    </row>
    <row r="41" spans="1:13">
      <c r="A41" s="51"/>
      <c r="B41" s="4" t="s">
        <v>153</v>
      </c>
      <c r="C41" s="31"/>
      <c r="D41" s="52"/>
      <c r="E41" s="52"/>
      <c r="F41" s="52"/>
      <c r="G41" s="52"/>
      <c r="H41" s="52"/>
      <c r="I41" s="52"/>
      <c r="J41" s="52"/>
      <c r="K41" s="52"/>
      <c r="L41" s="52"/>
      <c r="M41" s="53"/>
    </row>
    <row r="42" spans="1:13">
      <c r="A42" s="35"/>
      <c r="B42" s="90" t="s">
        <v>209</v>
      </c>
      <c r="C42" s="31"/>
      <c r="D42" s="31"/>
      <c r="E42" s="31"/>
      <c r="F42" s="31"/>
      <c r="G42" s="31"/>
      <c r="H42" s="31"/>
      <c r="I42" s="31"/>
      <c r="J42" s="31"/>
      <c r="K42" s="31"/>
      <c r="L42" s="31"/>
      <c r="M42" s="32"/>
    </row>
    <row r="43" spans="1:13">
      <c r="A43" s="54"/>
      <c r="B43" s="90" t="s">
        <v>210</v>
      </c>
      <c r="C43" s="31"/>
      <c r="D43" s="52"/>
      <c r="E43" s="52"/>
      <c r="F43" s="52"/>
      <c r="G43" s="52"/>
      <c r="H43" s="52"/>
      <c r="I43" s="52"/>
      <c r="J43" s="52"/>
      <c r="K43" s="52"/>
      <c r="L43" s="52"/>
      <c r="M43" s="53"/>
    </row>
    <row r="44" spans="1:13">
      <c r="A44" s="35"/>
      <c r="B44" s="90" t="s">
        <v>152</v>
      </c>
      <c r="C44" s="31"/>
      <c r="D44" s="31"/>
      <c r="E44" s="31"/>
      <c r="F44" s="31"/>
      <c r="G44" s="31"/>
      <c r="H44" s="31"/>
      <c r="I44" s="31"/>
      <c r="J44" s="31"/>
      <c r="K44" s="31"/>
      <c r="L44" s="31"/>
      <c r="M44" s="32"/>
    </row>
    <row r="45" spans="1:13">
      <c r="A45" s="55"/>
      <c r="B45" s="31"/>
      <c r="C45" s="31"/>
      <c r="D45" s="52"/>
      <c r="E45" s="52"/>
      <c r="F45" s="52"/>
      <c r="G45" s="52"/>
      <c r="H45" s="52"/>
      <c r="I45" s="52"/>
      <c r="J45" s="52"/>
      <c r="K45" s="52"/>
      <c r="L45" s="52"/>
      <c r="M45" s="53"/>
    </row>
    <row r="46" spans="1:13">
      <c r="A46" s="55"/>
      <c r="B46" s="4" t="s">
        <v>211</v>
      </c>
      <c r="C46" s="31"/>
      <c r="D46" s="41"/>
      <c r="E46" s="41"/>
      <c r="F46" s="41"/>
      <c r="G46" s="41"/>
      <c r="H46" s="41"/>
      <c r="I46" s="41"/>
      <c r="J46" s="41"/>
      <c r="K46" s="41"/>
      <c r="L46" s="41"/>
      <c r="M46" s="42"/>
    </row>
    <row r="47" spans="1:13">
      <c r="A47" s="55"/>
      <c r="B47" s="89" t="s">
        <v>89</v>
      </c>
      <c r="C47" s="31"/>
      <c r="D47" s="52"/>
      <c r="E47" s="52"/>
      <c r="F47" s="52"/>
      <c r="G47" s="52"/>
      <c r="H47" s="52"/>
      <c r="I47" s="52"/>
      <c r="J47" s="52"/>
      <c r="K47" s="52"/>
      <c r="L47" s="52"/>
      <c r="M47" s="53"/>
    </row>
    <row r="48" spans="1:13">
      <c r="A48" s="55"/>
      <c r="B48" s="89" t="s">
        <v>86</v>
      </c>
      <c r="C48" s="31"/>
      <c r="D48" s="31"/>
      <c r="E48" s="31"/>
      <c r="F48" s="31"/>
      <c r="G48" s="31"/>
      <c r="H48" s="31"/>
      <c r="I48" s="31"/>
      <c r="J48" s="31"/>
      <c r="K48" s="31"/>
      <c r="L48" s="31"/>
      <c r="M48" s="32"/>
    </row>
    <row r="49" spans="1:14">
      <c r="A49" s="56"/>
      <c r="B49" s="89" t="s">
        <v>84</v>
      </c>
      <c r="C49" s="31"/>
      <c r="D49" s="52"/>
      <c r="E49" s="52"/>
      <c r="F49" s="52"/>
      <c r="G49" s="52"/>
      <c r="H49" s="52"/>
      <c r="I49" s="52"/>
      <c r="J49" s="52"/>
      <c r="K49" s="52"/>
      <c r="L49" s="52"/>
      <c r="M49" s="53"/>
    </row>
    <row r="50" spans="1:14">
      <c r="A50" s="35"/>
      <c r="B50" s="89" t="s">
        <v>88</v>
      </c>
      <c r="C50" s="31"/>
      <c r="D50" s="31"/>
      <c r="E50" s="31"/>
      <c r="F50" s="31"/>
      <c r="G50" s="31"/>
      <c r="H50" s="31"/>
      <c r="I50" s="31"/>
      <c r="J50" s="31"/>
      <c r="K50" s="31"/>
      <c r="L50" s="31"/>
      <c r="M50" s="32"/>
    </row>
    <row r="51" spans="1:14">
      <c r="A51" s="35"/>
      <c r="B51" s="89" t="s">
        <v>212</v>
      </c>
      <c r="C51" s="31"/>
      <c r="D51" s="31"/>
      <c r="E51" s="31"/>
      <c r="F51" s="31"/>
      <c r="G51" s="31"/>
      <c r="H51" s="31"/>
      <c r="I51" s="31"/>
      <c r="J51" s="31"/>
      <c r="K51" s="31"/>
      <c r="L51" s="31"/>
      <c r="M51" s="32"/>
    </row>
    <row r="52" spans="1:14">
      <c r="A52" s="57"/>
      <c r="B52" s="5"/>
      <c r="C52" s="5"/>
      <c r="D52" s="31"/>
      <c r="E52" s="31"/>
      <c r="F52" s="31"/>
      <c r="G52" s="31"/>
      <c r="H52" s="31"/>
      <c r="I52" s="31"/>
      <c r="J52" s="31"/>
      <c r="K52" s="31"/>
      <c r="L52" s="31"/>
      <c r="M52" s="32"/>
    </row>
    <row r="53" spans="1:14">
      <c r="A53" s="35"/>
      <c r="B53" s="58"/>
      <c r="C53" s="31"/>
      <c r="D53" s="41"/>
      <c r="E53" s="41"/>
      <c r="F53" s="41"/>
      <c r="G53" s="41"/>
      <c r="H53" s="41"/>
      <c r="I53" s="41"/>
      <c r="J53" s="41"/>
      <c r="K53" s="41"/>
      <c r="L53" s="41"/>
      <c r="M53" s="42"/>
    </row>
    <row r="54" spans="1:14">
      <c r="A54" s="35"/>
      <c r="B54" s="58"/>
      <c r="C54" s="31"/>
      <c r="D54" s="41"/>
      <c r="E54" s="41"/>
      <c r="F54" s="41"/>
      <c r="G54" s="41"/>
      <c r="H54" s="41"/>
      <c r="I54" s="41"/>
      <c r="J54" s="41"/>
      <c r="K54" s="41"/>
      <c r="L54" s="41"/>
      <c r="M54" s="42"/>
    </row>
    <row r="55" spans="1:14">
      <c r="A55" s="35"/>
      <c r="B55" s="58"/>
      <c r="C55" s="31"/>
      <c r="D55" s="31"/>
      <c r="E55" s="31"/>
      <c r="F55" s="31"/>
      <c r="G55" s="31"/>
      <c r="H55" s="31"/>
      <c r="I55" s="31"/>
      <c r="J55" s="31"/>
      <c r="K55" s="31"/>
      <c r="L55" s="31"/>
      <c r="M55" s="32"/>
    </row>
    <row r="56" spans="1:14">
      <c r="A56" s="35"/>
      <c r="B56" s="59"/>
      <c r="C56" s="31"/>
      <c r="D56" s="31"/>
      <c r="E56" s="31"/>
      <c r="F56" s="31"/>
      <c r="G56" s="31"/>
      <c r="H56" s="31"/>
      <c r="I56" s="31"/>
      <c r="J56" s="31"/>
      <c r="K56" s="31"/>
      <c r="L56" s="31"/>
      <c r="M56" s="32"/>
    </row>
    <row r="57" spans="1:14">
      <c r="A57" s="35"/>
      <c r="B57" s="59"/>
      <c r="C57" s="31"/>
      <c r="D57" s="52"/>
      <c r="E57" s="52"/>
      <c r="F57" s="52"/>
      <c r="G57" s="52"/>
      <c r="H57" s="52"/>
      <c r="I57" s="52"/>
      <c r="J57" s="52"/>
      <c r="K57" s="52"/>
      <c r="L57" s="52"/>
      <c r="M57" s="53"/>
    </row>
    <row r="58" spans="1:14">
      <c r="A58" s="35"/>
      <c r="B58" s="59"/>
      <c r="C58" s="31"/>
      <c r="D58" s="81"/>
      <c r="E58" s="81"/>
      <c r="F58" s="81"/>
      <c r="G58" s="81"/>
      <c r="H58" s="81"/>
      <c r="I58" s="81"/>
      <c r="J58" s="81"/>
      <c r="K58" s="81"/>
      <c r="L58" s="81"/>
      <c r="M58" s="82"/>
    </row>
    <row r="59" spans="1:14">
      <c r="A59" s="35"/>
      <c r="B59" s="59"/>
      <c r="C59" s="31"/>
      <c r="D59" s="52"/>
      <c r="E59" s="52"/>
      <c r="F59" s="52"/>
      <c r="G59" s="52"/>
      <c r="H59" s="52"/>
      <c r="I59" s="52"/>
      <c r="J59" s="52"/>
      <c r="K59" s="52"/>
      <c r="L59" s="52"/>
      <c r="M59" s="53"/>
    </row>
    <row r="60" spans="1:14">
      <c r="A60" s="35"/>
      <c r="B60" s="60"/>
      <c r="C60" s="61"/>
      <c r="D60" s="31"/>
      <c r="E60" s="31"/>
      <c r="F60" s="31"/>
      <c r="G60" s="31"/>
      <c r="H60" s="31"/>
      <c r="I60" s="31"/>
      <c r="J60" s="31"/>
      <c r="K60" s="31"/>
      <c r="L60" s="31"/>
      <c r="M60" s="32"/>
    </row>
    <row r="61" spans="1:14">
      <c r="A61" s="35"/>
      <c r="B61" s="62"/>
      <c r="C61" s="31"/>
      <c r="D61" s="41"/>
      <c r="E61" s="41"/>
      <c r="F61" s="41"/>
      <c r="G61" s="41"/>
      <c r="H61" s="41"/>
      <c r="I61" s="41"/>
      <c r="J61" s="41"/>
      <c r="K61" s="41"/>
      <c r="L61" s="41"/>
      <c r="M61" s="42"/>
    </row>
    <row r="62" spans="1:14">
      <c r="A62" s="35"/>
      <c r="B62" s="63"/>
      <c r="C62" s="31"/>
      <c r="D62" s="83"/>
      <c r="E62" s="83"/>
      <c r="F62" s="83"/>
      <c r="G62" s="83"/>
      <c r="H62" s="83"/>
      <c r="I62" s="83"/>
      <c r="J62" s="83"/>
      <c r="K62" s="83"/>
      <c r="L62" s="83"/>
      <c r="M62" s="84"/>
      <c r="N62" s="64"/>
    </row>
    <row r="63" spans="1:14">
      <c r="A63" s="35"/>
      <c r="B63" s="65"/>
      <c r="C63" s="31"/>
      <c r="D63" s="41"/>
      <c r="E63" s="41"/>
      <c r="F63" s="41"/>
      <c r="G63" s="41"/>
      <c r="H63" s="41"/>
      <c r="I63" s="41"/>
      <c r="J63" s="41"/>
      <c r="K63" s="41"/>
      <c r="L63" s="41"/>
      <c r="M63" s="42"/>
    </row>
    <row r="64" spans="1:14">
      <c r="A64" s="35"/>
      <c r="B64" s="31"/>
      <c r="C64" s="31"/>
      <c r="D64" s="31"/>
      <c r="E64" s="31"/>
      <c r="F64" s="31"/>
      <c r="G64" s="31"/>
      <c r="H64" s="31"/>
      <c r="I64" s="31"/>
      <c r="J64" s="31"/>
      <c r="K64" s="31"/>
      <c r="L64" s="31"/>
      <c r="M64" s="32"/>
    </row>
    <row r="65" spans="1:13">
      <c r="A65" s="66"/>
      <c r="B65" s="4"/>
      <c r="C65" s="31"/>
      <c r="D65" s="31"/>
      <c r="E65" s="31"/>
      <c r="F65" s="31"/>
      <c r="G65" s="31"/>
      <c r="H65" s="31"/>
      <c r="I65" s="31"/>
      <c r="J65" s="31"/>
      <c r="K65" s="31"/>
      <c r="L65" s="31"/>
      <c r="M65" s="32"/>
    </row>
    <row r="66" spans="1:13">
      <c r="A66" s="35"/>
      <c r="B66" s="67"/>
      <c r="C66" s="67"/>
      <c r="D66" s="31"/>
      <c r="E66" s="31"/>
      <c r="F66" s="31"/>
      <c r="G66" s="31"/>
      <c r="H66" s="31"/>
      <c r="I66" s="31"/>
      <c r="J66" s="31"/>
      <c r="K66" s="31"/>
      <c r="L66" s="31"/>
      <c r="M66" s="32"/>
    </row>
    <row r="67" spans="1:13">
      <c r="A67" s="35"/>
      <c r="B67" s="68"/>
      <c r="C67" s="31"/>
      <c r="D67" s="41"/>
      <c r="E67" s="41"/>
      <c r="F67" s="41"/>
      <c r="G67" s="41"/>
      <c r="H67" s="41"/>
      <c r="I67" s="41"/>
      <c r="J67" s="41"/>
      <c r="K67" s="41"/>
      <c r="L67" s="41"/>
      <c r="M67" s="42"/>
    </row>
    <row r="68" spans="1:13">
      <c r="A68" s="35"/>
      <c r="B68" s="69"/>
      <c r="C68" s="31"/>
      <c r="D68" s="85"/>
      <c r="E68" s="85"/>
      <c r="F68" s="85"/>
      <c r="G68" s="85"/>
      <c r="H68" s="85"/>
      <c r="I68" s="85"/>
      <c r="J68" s="85"/>
      <c r="K68" s="85"/>
      <c r="L68" s="85"/>
      <c r="M68" s="86"/>
    </row>
    <row r="69" spans="1:13">
      <c r="A69" s="35"/>
      <c r="B69" s="4"/>
      <c r="C69" s="31"/>
      <c r="D69" s="31"/>
      <c r="E69" s="31"/>
      <c r="F69" s="31"/>
      <c r="G69" s="31"/>
      <c r="H69" s="31"/>
      <c r="I69" s="31"/>
      <c r="J69" s="31"/>
      <c r="K69" s="31"/>
      <c r="L69" s="31"/>
      <c r="M69" s="32"/>
    </row>
    <row r="70" spans="1:13">
      <c r="A70" s="70"/>
      <c r="B70" s="31"/>
      <c r="C70" s="31"/>
      <c r="D70" s="31"/>
      <c r="E70" s="31"/>
      <c r="F70" s="31"/>
      <c r="G70" s="31"/>
      <c r="H70" s="31"/>
      <c r="I70" s="31"/>
      <c r="J70" s="31"/>
      <c r="K70" s="31"/>
      <c r="L70" s="31"/>
      <c r="M70" s="32"/>
    </row>
    <row r="71" spans="1:13">
      <c r="A71" s="35"/>
      <c r="B71" s="71"/>
      <c r="C71" s="31"/>
      <c r="D71" s="41"/>
      <c r="E71" s="41"/>
      <c r="F71" s="41"/>
      <c r="G71" s="41"/>
      <c r="H71" s="41"/>
      <c r="I71" s="41"/>
      <c r="J71" s="41"/>
      <c r="K71" s="41"/>
      <c r="L71" s="41"/>
      <c r="M71" s="42"/>
    </row>
    <row r="72" spans="1:13">
      <c r="A72" s="35"/>
      <c r="B72" s="71"/>
      <c r="C72" s="31"/>
      <c r="D72" s="41"/>
      <c r="E72" s="41"/>
      <c r="F72" s="41"/>
      <c r="G72" s="41"/>
      <c r="H72" s="41"/>
      <c r="I72" s="41"/>
      <c r="J72" s="41"/>
      <c r="K72" s="41"/>
      <c r="L72" s="41"/>
      <c r="M72" s="42"/>
    </row>
    <row r="73" spans="1:13">
      <c r="A73" s="35"/>
      <c r="B73" s="71"/>
      <c r="C73" s="31"/>
      <c r="D73" s="41"/>
      <c r="E73" s="41"/>
      <c r="F73" s="41"/>
      <c r="G73" s="41"/>
      <c r="H73" s="41"/>
      <c r="I73" s="41"/>
      <c r="J73" s="41"/>
      <c r="K73" s="41"/>
      <c r="L73" s="41"/>
      <c r="M73" s="42"/>
    </row>
    <row r="74" spans="1:13">
      <c r="A74" s="35"/>
      <c r="B74" s="71"/>
      <c r="C74" s="31"/>
      <c r="D74" s="41"/>
      <c r="E74" s="41"/>
      <c r="F74" s="41"/>
      <c r="G74" s="41"/>
      <c r="H74" s="41"/>
      <c r="I74" s="41"/>
      <c r="J74" s="41"/>
      <c r="K74" s="41"/>
      <c r="L74" s="41"/>
      <c r="M74" s="42"/>
    </row>
    <row r="75" spans="1:13">
      <c r="A75" s="35"/>
      <c r="B75" s="71"/>
      <c r="C75" s="31"/>
      <c r="D75" s="87"/>
      <c r="E75" s="87"/>
      <c r="F75" s="87"/>
      <c r="G75" s="87"/>
      <c r="H75" s="87"/>
      <c r="I75" s="87"/>
      <c r="J75" s="87"/>
      <c r="K75" s="87"/>
      <c r="L75" s="87"/>
      <c r="M75" s="88"/>
    </row>
    <row r="76" spans="1:13">
      <c r="A76" s="35"/>
      <c r="B76" s="73"/>
      <c r="C76" s="31"/>
      <c r="D76" s="52"/>
      <c r="E76" s="52"/>
      <c r="F76" s="52"/>
      <c r="G76" s="52"/>
      <c r="H76" s="52"/>
      <c r="I76" s="52"/>
      <c r="J76" s="52"/>
      <c r="K76" s="52"/>
      <c r="L76" s="52"/>
      <c r="M76" s="53"/>
    </row>
    <row r="77" spans="1:13">
      <c r="A77" s="35"/>
      <c r="B77" s="31"/>
      <c r="C77" s="31"/>
      <c r="D77" s="31"/>
      <c r="E77" s="31"/>
      <c r="F77" s="31"/>
      <c r="G77" s="31"/>
      <c r="H77" s="31"/>
      <c r="I77" s="31"/>
      <c r="J77" s="31"/>
      <c r="K77" s="31"/>
      <c r="L77" s="31"/>
      <c r="M77" s="32"/>
    </row>
    <row r="78" spans="1:13">
      <c r="A78" s="74"/>
      <c r="B78" s="31"/>
      <c r="C78" s="31"/>
      <c r="D78" s="41"/>
      <c r="E78" s="41"/>
      <c r="F78" s="41"/>
      <c r="G78" s="41"/>
      <c r="H78" s="41"/>
      <c r="I78" s="41"/>
      <c r="J78" s="41"/>
      <c r="K78" s="41"/>
      <c r="L78" s="41"/>
      <c r="M78" s="42"/>
    </row>
    <row r="79" spans="1:13">
      <c r="A79" s="75"/>
      <c r="B79" s="31"/>
      <c r="C79" s="31"/>
      <c r="D79" s="31"/>
      <c r="E79" s="31"/>
      <c r="F79" s="31"/>
      <c r="G79" s="31"/>
      <c r="H79" s="31"/>
      <c r="I79" s="31"/>
      <c r="J79" s="31"/>
      <c r="K79" s="31"/>
      <c r="L79" s="31"/>
      <c r="M79" s="32"/>
    </row>
    <row r="80" spans="1:13">
      <c r="A80" s="76"/>
      <c r="B80" s="31"/>
      <c r="C80" s="31"/>
      <c r="D80" s="41"/>
      <c r="E80" s="41"/>
      <c r="F80" s="41"/>
      <c r="G80" s="41"/>
      <c r="H80" s="41"/>
      <c r="I80" s="41"/>
      <c r="J80" s="41"/>
      <c r="K80" s="41"/>
      <c r="L80" s="41"/>
      <c r="M80" s="42"/>
    </row>
    <row r="81" spans="1:13">
      <c r="A81" s="35"/>
      <c r="B81" s="31"/>
      <c r="C81" s="31"/>
      <c r="D81" s="31"/>
      <c r="E81" s="31"/>
      <c r="F81" s="31"/>
      <c r="G81" s="31"/>
      <c r="H81" s="31"/>
      <c r="I81" s="31"/>
      <c r="J81" s="31"/>
      <c r="K81" s="31"/>
      <c r="L81" s="31"/>
      <c r="M81" s="32"/>
    </row>
    <row r="82" spans="1:13">
      <c r="A82" s="76"/>
      <c r="B82" s="31"/>
      <c r="C82" s="31"/>
      <c r="D82" s="52"/>
      <c r="E82" s="52"/>
      <c r="F82" s="52"/>
      <c r="G82" s="52"/>
      <c r="H82" s="52"/>
      <c r="I82" s="52"/>
      <c r="J82" s="52"/>
      <c r="K82" s="52"/>
      <c r="L82" s="52"/>
      <c r="M82" s="53"/>
    </row>
    <row r="83" spans="1:13">
      <c r="A83" s="77"/>
      <c r="B83" s="78"/>
      <c r="C83" s="78"/>
      <c r="D83" s="78"/>
      <c r="E83" s="78"/>
      <c r="F83" s="78"/>
      <c r="G83" s="78"/>
      <c r="H83" s="78"/>
      <c r="I83" s="78"/>
      <c r="J83" s="78"/>
      <c r="K83" s="78"/>
      <c r="L83" s="78"/>
      <c r="M83" s="79"/>
    </row>
  </sheetData>
  <customSheetViews>
    <customSheetView guid="{2226E858-00AE-4A92-8CF6-5B54D2FA62D4}" showPageBreaks="1" state="hidden">
      <selection sqref="A1:M1"/>
      <pageMargins left="0.7" right="0.7" top="0.75" bottom="0.75" header="0.3" footer="0.3"/>
      <pageSetup orientation="portrait" r:id="rId1"/>
    </customSheetView>
  </customSheetViews>
  <mergeCells count="14">
    <mergeCell ref="A8:B8"/>
    <mergeCell ref="A1:M1"/>
    <mergeCell ref="K2:M2"/>
    <mergeCell ref="A5:B5"/>
    <mergeCell ref="A6:B6"/>
    <mergeCell ref="A7:B7"/>
    <mergeCell ref="A17:C17"/>
    <mergeCell ref="D16:M16"/>
    <mergeCell ref="A9:B9"/>
    <mergeCell ref="A10:B10"/>
    <mergeCell ref="E10:L13"/>
    <mergeCell ref="A12:B12"/>
    <mergeCell ref="A13:B13"/>
    <mergeCell ref="A14:B14"/>
  </mergeCells>
  <hyperlinks>
    <hyperlink ref="K2:M2" location="Index!A1" display="Return to Index"/>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S64"/>
  <sheetViews>
    <sheetView workbookViewId="0">
      <selection activeCell="B2" sqref="B2"/>
    </sheetView>
  </sheetViews>
  <sheetFormatPr defaultColWidth="9.140625" defaultRowHeight="15"/>
  <cols>
    <col min="1" max="1" width="4.42578125" style="312" customWidth="1"/>
    <col min="2" max="2" width="40.42578125" style="312" bestFit="1" customWidth="1"/>
    <col min="3" max="3" width="8.140625" style="312" customWidth="1"/>
    <col min="4" max="4" width="9" style="312" customWidth="1"/>
    <col min="5" max="5" width="2.42578125" style="312" customWidth="1"/>
    <col min="6" max="6" width="8.140625" style="312" customWidth="1"/>
    <col min="7" max="7" width="9" style="312" customWidth="1"/>
    <col min="8" max="8" width="2.42578125" style="312" customWidth="1"/>
    <col min="9" max="9" width="8.140625" style="312" customWidth="1"/>
    <col min="10" max="10" width="8.85546875" style="312" customWidth="1"/>
    <col min="11" max="11" width="2.42578125" style="312" customWidth="1"/>
    <col min="12" max="12" width="9.140625" style="312" customWidth="1"/>
    <col min="13" max="13" width="8.85546875" style="312" customWidth="1"/>
    <col min="14" max="14" width="2.42578125" style="312" customWidth="1"/>
    <col min="15" max="15" width="8.42578125" style="312" customWidth="1"/>
    <col min="16" max="16" width="9" style="312" customWidth="1"/>
    <col min="17" max="17" width="2.5703125" style="312" customWidth="1"/>
    <col min="18" max="18" width="8.42578125" style="312" customWidth="1"/>
    <col min="19" max="19" width="9" style="312" customWidth="1"/>
    <col min="20" max="20" width="2.42578125" style="312" customWidth="1"/>
    <col min="21" max="21" width="8.7109375" style="312" bestFit="1" customWidth="1"/>
    <col min="22" max="22" width="8.5703125" style="312" customWidth="1"/>
    <col min="23" max="26" width="9.140625" style="312"/>
    <col min="27" max="27" width="7.28515625" style="312" customWidth="1"/>
    <col min="28" max="28" width="5.5703125" style="312" customWidth="1"/>
    <col min="29" max="16384" width="9.140625" style="312"/>
  </cols>
  <sheetData>
    <row r="1" spans="1:22">
      <c r="A1" s="308"/>
      <c r="B1" s="308" t="s">
        <v>594</v>
      </c>
      <c r="C1" s="309" t="s">
        <v>290</v>
      </c>
      <c r="D1" s="309" t="s">
        <v>291</v>
      </c>
      <c r="E1" s="310"/>
      <c r="F1" s="309" t="s">
        <v>292</v>
      </c>
      <c r="G1" s="309" t="s">
        <v>293</v>
      </c>
      <c r="H1" s="311"/>
      <c r="I1" s="309" t="s">
        <v>294</v>
      </c>
      <c r="J1" s="309" t="s">
        <v>295</v>
      </c>
      <c r="K1" s="308"/>
      <c r="L1" s="309" t="s">
        <v>323</v>
      </c>
      <c r="M1" s="309" t="s">
        <v>324</v>
      </c>
      <c r="N1" s="308"/>
      <c r="O1" s="309" t="s">
        <v>325</v>
      </c>
      <c r="P1" s="309" t="s">
        <v>326</v>
      </c>
      <c r="Q1" s="308"/>
      <c r="R1" s="309" t="s">
        <v>327</v>
      </c>
      <c r="S1" s="309" t="s">
        <v>328</v>
      </c>
      <c r="T1" s="308"/>
      <c r="U1" s="309" t="s">
        <v>329</v>
      </c>
      <c r="V1" s="309" t="s">
        <v>330</v>
      </c>
    </row>
    <row r="2" spans="1:22" ht="24" customHeight="1">
      <c r="A2" s="308"/>
      <c r="B2" s="308"/>
      <c r="C2" s="408" t="s">
        <v>309</v>
      </c>
      <c r="D2" s="408"/>
      <c r="E2" s="313"/>
      <c r="F2" s="408" t="s">
        <v>336</v>
      </c>
      <c r="G2" s="408"/>
      <c r="H2" s="313"/>
      <c r="I2" s="408" t="s">
        <v>335</v>
      </c>
      <c r="J2" s="408"/>
      <c r="K2" s="314"/>
      <c r="L2" s="408" t="s">
        <v>334</v>
      </c>
      <c r="M2" s="408"/>
      <c r="N2" s="314"/>
      <c r="O2" s="408" t="s">
        <v>333</v>
      </c>
      <c r="P2" s="408"/>
      <c r="Q2" s="314"/>
      <c r="R2" s="408" t="s">
        <v>332</v>
      </c>
      <c r="S2" s="408"/>
      <c r="T2" s="314"/>
      <c r="U2" s="408" t="s">
        <v>337</v>
      </c>
      <c r="V2" s="408"/>
    </row>
    <row r="3" spans="1:22">
      <c r="A3" s="308"/>
      <c r="B3" s="308"/>
      <c r="C3" s="409"/>
      <c r="D3" s="409"/>
      <c r="E3" s="313"/>
      <c r="F3" s="409"/>
      <c r="G3" s="409"/>
      <c r="H3" s="313"/>
      <c r="I3" s="409"/>
      <c r="J3" s="409"/>
      <c r="K3" s="314"/>
      <c r="L3" s="409"/>
      <c r="M3" s="409"/>
      <c r="N3" s="314"/>
      <c r="O3" s="409"/>
      <c r="P3" s="409"/>
      <c r="Q3" s="314"/>
      <c r="R3" s="409"/>
      <c r="S3" s="409"/>
      <c r="T3" s="314"/>
      <c r="U3" s="409"/>
      <c r="V3" s="409"/>
    </row>
    <row r="4" spans="1:22">
      <c r="A4" s="308"/>
      <c r="B4" s="308"/>
      <c r="C4" s="315"/>
      <c r="D4" s="315"/>
      <c r="E4" s="308"/>
      <c r="F4" s="315"/>
      <c r="G4" s="315"/>
      <c r="H4" s="308"/>
      <c r="I4" s="315"/>
      <c r="J4" s="315"/>
      <c r="K4" s="308"/>
      <c r="L4" s="315"/>
      <c r="M4" s="315"/>
      <c r="N4" s="308"/>
      <c r="O4" s="315"/>
      <c r="P4" s="315"/>
      <c r="Q4" s="308"/>
      <c r="R4" s="315"/>
      <c r="S4" s="315"/>
      <c r="T4" s="308"/>
      <c r="U4" s="315"/>
      <c r="V4" s="315"/>
    </row>
    <row r="5" spans="1:22" ht="26.25">
      <c r="A5" s="308"/>
      <c r="B5" s="316" t="s">
        <v>296</v>
      </c>
      <c r="C5" s="317" t="s">
        <v>331</v>
      </c>
      <c r="D5" s="317" t="s">
        <v>297</v>
      </c>
      <c r="E5" s="314"/>
      <c r="F5" s="317" t="s">
        <v>331</v>
      </c>
      <c r="G5" s="317" t="s">
        <v>297</v>
      </c>
      <c r="H5" s="314"/>
      <c r="I5" s="317" t="s">
        <v>331</v>
      </c>
      <c r="J5" s="317" t="s">
        <v>297</v>
      </c>
      <c r="K5" s="314"/>
      <c r="L5" s="317" t="s">
        <v>331</v>
      </c>
      <c r="M5" s="317" t="s">
        <v>297</v>
      </c>
      <c r="N5" s="314"/>
      <c r="O5" s="317" t="s">
        <v>331</v>
      </c>
      <c r="P5" s="317" t="s">
        <v>297</v>
      </c>
      <c r="Q5" s="314"/>
      <c r="R5" s="317" t="s">
        <v>331</v>
      </c>
      <c r="S5" s="317" t="s">
        <v>297</v>
      </c>
      <c r="T5" s="314"/>
      <c r="U5" s="317" t="s">
        <v>331</v>
      </c>
      <c r="V5" s="317" t="s">
        <v>297</v>
      </c>
    </row>
    <row r="6" spans="1:22">
      <c r="A6" s="308"/>
      <c r="B6" s="308"/>
      <c r="C6" s="308"/>
      <c r="D6" s="308"/>
      <c r="E6" s="308"/>
      <c r="F6" s="308"/>
      <c r="G6" s="308"/>
      <c r="H6" s="308"/>
      <c r="I6" s="308"/>
      <c r="J6" s="318"/>
      <c r="K6" s="308"/>
      <c r="L6" s="308"/>
      <c r="M6" s="318"/>
      <c r="N6" s="308"/>
      <c r="O6" s="308"/>
      <c r="P6" s="318"/>
      <c r="Q6" s="308"/>
      <c r="R6" s="308"/>
      <c r="S6" s="318"/>
      <c r="T6" s="308"/>
      <c r="U6" s="308"/>
      <c r="V6" s="318"/>
    </row>
    <row r="7" spans="1:22">
      <c r="A7" s="410"/>
      <c r="B7" s="410"/>
      <c r="C7" s="308"/>
      <c r="D7" s="308"/>
      <c r="E7" s="308"/>
      <c r="F7" s="308"/>
      <c r="G7" s="308"/>
      <c r="H7" s="308"/>
      <c r="I7" s="308"/>
      <c r="J7" s="318"/>
      <c r="K7" s="308"/>
      <c r="L7" s="308"/>
      <c r="M7" s="318"/>
      <c r="N7" s="308"/>
      <c r="O7" s="308"/>
      <c r="P7" s="318"/>
      <c r="Q7" s="308"/>
      <c r="R7" s="308"/>
      <c r="S7" s="318"/>
      <c r="T7" s="308"/>
      <c r="U7" s="308"/>
      <c r="V7" s="318"/>
    </row>
    <row r="8" spans="1:22">
      <c r="A8" s="319">
        <v>1</v>
      </c>
      <c r="B8" s="319" t="s">
        <v>298</v>
      </c>
      <c r="C8" s="320">
        <f>(M35-I35)/1000</f>
        <v>15.499957914999976</v>
      </c>
      <c r="D8" s="321">
        <f>(C8/C20)*D20</f>
        <v>1.0735192771600448E-2</v>
      </c>
      <c r="E8" s="308"/>
      <c r="F8" s="320" t="e">
        <f>(O35-M35)/1000</f>
        <v>#REF!</v>
      </c>
      <c r="G8" s="321" t="e">
        <f>(F8/F20)*G20</f>
        <v>#REF!</v>
      </c>
      <c r="H8" s="308"/>
      <c r="I8" s="320" t="e">
        <f>(P35-O35)/1000</f>
        <v>#REF!</v>
      </c>
      <c r="J8" s="321" t="e">
        <f>(I8/I20)*J20</f>
        <v>#REF!</v>
      </c>
      <c r="K8" s="308"/>
      <c r="L8" s="320" t="e">
        <f>(R35-P35)/1000</f>
        <v>#DIV/0!</v>
      </c>
      <c r="M8" s="321" t="e">
        <f>(L8/L20)*M20</f>
        <v>#DIV/0!</v>
      </c>
      <c r="N8" s="308"/>
      <c r="O8" s="320" t="e">
        <f>(S35-R35)/1000</f>
        <v>#DIV/0!</v>
      </c>
      <c r="P8" s="321" t="e">
        <f>(O8/O20)*P20</f>
        <v>#DIV/0!</v>
      </c>
      <c r="Q8" s="308"/>
      <c r="R8" s="320" t="e">
        <f>(U35-S35)/1000</f>
        <v>#DIV/0!</v>
      </c>
      <c r="S8" s="321" t="e">
        <f>(R8/R20)*S20</f>
        <v>#DIV/0!</v>
      </c>
      <c r="T8" s="308"/>
      <c r="U8" s="320" t="e">
        <f>(V35-U35)/1000</f>
        <v>#DIV/0!</v>
      </c>
      <c r="V8" s="321" t="e">
        <f>(U8/U20)*V20</f>
        <v>#DIV/0!</v>
      </c>
    </row>
    <row r="9" spans="1:22">
      <c r="A9" s="308">
        <v>2</v>
      </c>
      <c r="B9" s="308" t="s">
        <v>299</v>
      </c>
      <c r="C9" s="322">
        <f>(M37-I37)/1000</f>
        <v>7.3484065000000118</v>
      </c>
      <c r="D9" s="323">
        <f>(C9/C20)*D20</f>
        <v>5.0894693246386138E-3</v>
      </c>
      <c r="E9" s="308"/>
      <c r="F9" s="322" t="e">
        <f>(O37-M37)/1000</f>
        <v>#REF!</v>
      </c>
      <c r="G9" s="323" t="e">
        <f>(F9/F20)*G20</f>
        <v>#REF!</v>
      </c>
      <c r="H9" s="308"/>
      <c r="I9" s="322" t="e">
        <f>(P37-O37)/1000</f>
        <v>#REF!</v>
      </c>
      <c r="J9" s="323" t="e">
        <f>(I9/I20)*J20</f>
        <v>#REF!</v>
      </c>
      <c r="K9" s="308"/>
      <c r="L9" s="322" t="e">
        <f>(R37-P37)/1000</f>
        <v>#DIV/0!</v>
      </c>
      <c r="M9" s="323" t="e">
        <f>(L9/L20)*M20</f>
        <v>#DIV/0!</v>
      </c>
      <c r="N9" s="308"/>
      <c r="O9" s="322" t="e">
        <f>(S37-R37)/1000</f>
        <v>#DIV/0!</v>
      </c>
      <c r="P9" s="323" t="e">
        <f>(O9/O20)*P20</f>
        <v>#DIV/0!</v>
      </c>
      <c r="Q9" s="308"/>
      <c r="R9" s="322" t="e">
        <f>(U37-S37)/1000</f>
        <v>#DIV/0!</v>
      </c>
      <c r="S9" s="323" t="e">
        <f>(R9/R20)*S20</f>
        <v>#DIV/0!</v>
      </c>
      <c r="T9" s="308"/>
      <c r="U9" s="322" t="e">
        <f>(V37-U37)/1000</f>
        <v>#DIV/0!</v>
      </c>
      <c r="V9" s="323" t="e">
        <f>(U9/U20)*V20</f>
        <v>#DIV/0!</v>
      </c>
    </row>
    <row r="10" spans="1:22">
      <c r="A10" s="319">
        <v>3</v>
      </c>
      <c r="B10" s="319" t="s">
        <v>300</v>
      </c>
      <c r="C10" s="320">
        <f>(M36-I36)/1000</f>
        <v>7.2429974999999978</v>
      </c>
      <c r="D10" s="321">
        <f>(C10/C20)*D20</f>
        <v>5.0164635822316176E-3</v>
      </c>
      <c r="E10" s="308"/>
      <c r="F10" s="320" t="e">
        <f>(O36-M36)/1000</f>
        <v>#REF!</v>
      </c>
      <c r="G10" s="321" t="e">
        <f>(F10/F20)*G20</f>
        <v>#REF!</v>
      </c>
      <c r="H10" s="308"/>
      <c r="I10" s="320" t="e">
        <f>(P36-O36)/1000</f>
        <v>#REF!</v>
      </c>
      <c r="J10" s="321" t="e">
        <f>(I10/I20)*J20</f>
        <v>#REF!</v>
      </c>
      <c r="K10" s="308"/>
      <c r="L10" s="320" t="e">
        <f>(R36-P36)/1000</f>
        <v>#DIV/0!</v>
      </c>
      <c r="M10" s="321" t="e">
        <f>(L10/L20)*M20</f>
        <v>#DIV/0!</v>
      </c>
      <c r="N10" s="308"/>
      <c r="O10" s="320" t="e">
        <f>(S36-R36)/1000</f>
        <v>#DIV/0!</v>
      </c>
      <c r="P10" s="321" t="e">
        <f>(O10/O20)*P20</f>
        <v>#DIV/0!</v>
      </c>
      <c r="Q10" s="308"/>
      <c r="R10" s="320" t="e">
        <f>(U36-S36)/1000</f>
        <v>#DIV/0!</v>
      </c>
      <c r="S10" s="321" t="e">
        <f>(R10/R20)*S20</f>
        <v>#DIV/0!</v>
      </c>
      <c r="T10" s="308"/>
      <c r="U10" s="320" t="e">
        <f>(V36-U36)/1000</f>
        <v>#DIV/0!</v>
      </c>
      <c r="V10" s="321" t="e">
        <f>(U10/U20)*V20</f>
        <v>#DIV/0!</v>
      </c>
    </row>
    <row r="11" spans="1:22">
      <c r="A11" s="308">
        <v>4</v>
      </c>
      <c r="B11" s="324" t="s">
        <v>301</v>
      </c>
      <c r="C11" s="325">
        <f>((M39-I39)+M40)/1000</f>
        <v>4.2453980000000007</v>
      </c>
      <c r="D11" s="326">
        <f>(C11/C20)*D20</f>
        <v>2.9403412688018952E-3</v>
      </c>
      <c r="E11" s="308"/>
      <c r="F11" s="325" t="e">
        <f>((O39-M39)+(O40-M40))/1000</f>
        <v>#REF!</v>
      </c>
      <c r="G11" s="326" t="e">
        <f>(F11/F20)*G20</f>
        <v>#REF!</v>
      </c>
      <c r="H11" s="308"/>
      <c r="I11" s="325" t="e">
        <f>((P39-O39)+P40)/1000</f>
        <v>#REF!</v>
      </c>
      <c r="J11" s="326" t="e">
        <f>(I11/I20)*J20</f>
        <v>#REF!</v>
      </c>
      <c r="K11" s="308"/>
      <c r="L11" s="325" t="e">
        <f>((R39-P39)+R40)/1000</f>
        <v>#DIV/0!</v>
      </c>
      <c r="M11" s="326" t="e">
        <f>(L11/L20)*M20</f>
        <v>#DIV/0!</v>
      </c>
      <c r="N11" s="308"/>
      <c r="O11" s="325" t="e">
        <f>((S39-R39))/1000</f>
        <v>#DIV/0!</v>
      </c>
      <c r="P11" s="326" t="e">
        <f>(O11/O20)*P20</f>
        <v>#DIV/0!</v>
      </c>
      <c r="Q11" s="308"/>
      <c r="R11" s="325" t="e">
        <f>((U39-S39))/1000</f>
        <v>#DIV/0!</v>
      </c>
      <c r="S11" s="326" t="e">
        <f>(R11/R20)*S20</f>
        <v>#DIV/0!</v>
      </c>
      <c r="T11" s="308"/>
      <c r="U11" s="325" t="e">
        <f>((V39-U39))/1000</f>
        <v>#DIV/0!</v>
      </c>
      <c r="V11" s="326" t="e">
        <f>(U11/U20)*V20</f>
        <v>#DIV/0!</v>
      </c>
    </row>
    <row r="12" spans="1:22">
      <c r="A12" s="327">
        <v>5</v>
      </c>
      <c r="B12" s="328" t="s">
        <v>302</v>
      </c>
      <c r="C12" s="329">
        <f>SUM(C8:C11)</f>
        <v>34.336759914999988</v>
      </c>
      <c r="D12" s="330">
        <f>SUM(D8:D11)</f>
        <v>2.3781466947272574E-2</v>
      </c>
      <c r="E12" s="331"/>
      <c r="F12" s="329" t="e">
        <f>SUM(F8:F11)</f>
        <v>#REF!</v>
      </c>
      <c r="G12" s="330" t="e">
        <f>SUM(G8:G11)</f>
        <v>#REF!</v>
      </c>
      <c r="H12" s="331"/>
      <c r="I12" s="329" t="e">
        <f>SUM(I8:I11)</f>
        <v>#REF!</v>
      </c>
      <c r="J12" s="330" t="e">
        <f>SUM(J8:J11)</f>
        <v>#REF!</v>
      </c>
      <c r="K12" s="308"/>
      <c r="L12" s="329" t="e">
        <f>SUM(L8:L11)</f>
        <v>#DIV/0!</v>
      </c>
      <c r="M12" s="330" t="e">
        <f>SUM(M8:M11)</f>
        <v>#DIV/0!</v>
      </c>
      <c r="N12" s="308"/>
      <c r="O12" s="329" t="e">
        <f>SUM(O8:O11)</f>
        <v>#DIV/0!</v>
      </c>
      <c r="P12" s="330" t="e">
        <f>SUM(P8:P11)</f>
        <v>#DIV/0!</v>
      </c>
      <c r="Q12" s="308"/>
      <c r="R12" s="329" t="e">
        <f>SUM(R8:R11)</f>
        <v>#DIV/0!</v>
      </c>
      <c r="S12" s="330" t="e">
        <f>SUM(S8:S11)</f>
        <v>#DIV/0!</v>
      </c>
      <c r="T12" s="308"/>
      <c r="U12" s="329" t="e">
        <f>SUM(U8:U11)</f>
        <v>#DIV/0!</v>
      </c>
      <c r="V12" s="330" t="e">
        <f>SUM(V8:V11)</f>
        <v>#DIV/0!</v>
      </c>
    </row>
    <row r="13" spans="1:22">
      <c r="A13" s="308"/>
      <c r="B13" s="331"/>
      <c r="C13" s="332"/>
      <c r="D13" s="308"/>
      <c r="E13" s="308"/>
      <c r="F13" s="332"/>
      <c r="G13" s="308"/>
      <c r="H13" s="308"/>
      <c r="I13" s="332"/>
      <c r="J13" s="308"/>
      <c r="K13" s="308"/>
      <c r="L13" s="332"/>
      <c r="M13" s="308"/>
      <c r="N13" s="308"/>
      <c r="O13" s="332"/>
      <c r="P13" s="308"/>
      <c r="Q13" s="308"/>
      <c r="R13" s="332"/>
      <c r="S13" s="308"/>
      <c r="T13" s="308"/>
      <c r="U13" s="332"/>
      <c r="V13" s="308"/>
    </row>
    <row r="14" spans="1:22" ht="17.25">
      <c r="A14" s="308">
        <v>6</v>
      </c>
      <c r="B14" s="308" t="s">
        <v>589</v>
      </c>
      <c r="C14" s="322">
        <f>(M38-I38)/1000</f>
        <v>8.0091995199999939</v>
      </c>
      <c r="D14" s="323">
        <f>(C14/C20)*D20</f>
        <v>5.5471312415760095E-3</v>
      </c>
      <c r="E14" s="308"/>
      <c r="F14" s="322" t="e">
        <f>(O38-M38)/1000</f>
        <v>#REF!</v>
      </c>
      <c r="G14" s="323" t="e">
        <f>(F14/F20)*G20</f>
        <v>#REF!</v>
      </c>
      <c r="H14" s="308"/>
      <c r="I14" s="322" t="e">
        <f>(P38-O38)/1000</f>
        <v>#REF!</v>
      </c>
      <c r="J14" s="323" t="e">
        <f>(I14/I20)*J20</f>
        <v>#REF!</v>
      </c>
      <c r="K14" s="308"/>
      <c r="L14" s="322" t="e">
        <f>(R38-P38)/1000</f>
        <v>#DIV/0!</v>
      </c>
      <c r="M14" s="323" t="e">
        <f>(L14/L20)*M20</f>
        <v>#DIV/0!</v>
      </c>
      <c r="N14" s="308"/>
      <c r="O14" s="322" t="e">
        <f>(S38-R38)/1000</f>
        <v>#DIV/0!</v>
      </c>
      <c r="P14" s="323" t="e">
        <f>(O14/O20)*P20</f>
        <v>#DIV/0!</v>
      </c>
      <c r="Q14" s="308"/>
      <c r="R14" s="322" t="e">
        <f>(U38-S38)/1000</f>
        <v>#DIV/0!</v>
      </c>
      <c r="S14" s="323" t="e">
        <f>(R14/R20)*S20</f>
        <v>#DIV/0!</v>
      </c>
      <c r="T14" s="308"/>
      <c r="U14" s="322" t="e">
        <f>(V38-U38)/1000</f>
        <v>#DIV/0!</v>
      </c>
      <c r="V14" s="323" t="e">
        <f>(U14/U20)*V20</f>
        <v>#DIV/0!</v>
      </c>
    </row>
    <row r="15" spans="1:22" ht="17.25">
      <c r="A15" s="333">
        <v>7</v>
      </c>
      <c r="B15" s="334" t="s">
        <v>590</v>
      </c>
      <c r="C15" s="335">
        <f>(M41-I41)/1000</f>
        <v>20</v>
      </c>
      <c r="D15" s="336">
        <f>(C15/C20)*D20</f>
        <v>1.3851899250915439E-2</v>
      </c>
      <c r="E15" s="308"/>
      <c r="F15" s="335" t="e">
        <f>(O41-M41)/1000</f>
        <v>#REF!</v>
      </c>
      <c r="G15" s="336" t="e">
        <f>(F15/F20)*G20</f>
        <v>#REF!</v>
      </c>
      <c r="H15" s="308"/>
      <c r="I15" s="335" t="e">
        <f>(P41-O41)/1000</f>
        <v>#REF!</v>
      </c>
      <c r="J15" s="336" t="e">
        <f>(I15/I20)*J20</f>
        <v>#REF!</v>
      </c>
      <c r="K15" s="308"/>
      <c r="L15" s="335" t="e">
        <f>(R41-P41)/1000</f>
        <v>#REF!</v>
      </c>
      <c r="M15" s="336" t="e">
        <f>(L15/L20)*M20</f>
        <v>#REF!</v>
      </c>
      <c r="N15" s="308"/>
      <c r="O15" s="335" t="e">
        <f>(S41-R41)/1000</f>
        <v>#REF!</v>
      </c>
      <c r="P15" s="336" t="e">
        <f>(O15/O20)*P20</f>
        <v>#REF!</v>
      </c>
      <c r="Q15" s="308"/>
      <c r="R15" s="335" t="e">
        <f>(U41-S41)/1000</f>
        <v>#REF!</v>
      </c>
      <c r="S15" s="336" t="e">
        <f>(R15/R20)*S20</f>
        <v>#REF!</v>
      </c>
      <c r="T15" s="308"/>
      <c r="U15" s="335" t="e">
        <f>(V41-U41)/1000</f>
        <v>#REF!</v>
      </c>
      <c r="V15" s="336" t="e">
        <f>(U15/U20)*V20</f>
        <v>#REF!</v>
      </c>
    </row>
    <row r="16" spans="1:22">
      <c r="A16" s="337">
        <v>8</v>
      </c>
      <c r="B16" s="338" t="s">
        <v>303</v>
      </c>
      <c r="C16" s="339">
        <f>SUM(C14:C15)</f>
        <v>28.009199519999996</v>
      </c>
      <c r="D16" s="340">
        <f>SUM(D14:D15)</f>
        <v>1.9399030492491448E-2</v>
      </c>
      <c r="E16" s="331"/>
      <c r="F16" s="339" t="e">
        <f>SUM(F14:F15)</f>
        <v>#REF!</v>
      </c>
      <c r="G16" s="340" t="e">
        <f>SUM(G14:G15)</f>
        <v>#REF!</v>
      </c>
      <c r="H16" s="331"/>
      <c r="I16" s="339" t="e">
        <f>SUM(I14:I15)</f>
        <v>#REF!</v>
      </c>
      <c r="J16" s="340" t="e">
        <f>SUM(J14:J15)</f>
        <v>#REF!</v>
      </c>
      <c r="K16" s="308"/>
      <c r="L16" s="339" t="e">
        <f>SUM(L14:L15)</f>
        <v>#DIV/0!</v>
      </c>
      <c r="M16" s="340" t="e">
        <f>SUM(M14:M15)</f>
        <v>#DIV/0!</v>
      </c>
      <c r="N16" s="308"/>
      <c r="O16" s="339" t="e">
        <f>SUM(O14:O15)</f>
        <v>#DIV/0!</v>
      </c>
      <c r="P16" s="340" t="e">
        <f>SUM(P14:P15)</f>
        <v>#DIV/0!</v>
      </c>
      <c r="Q16" s="308"/>
      <c r="R16" s="339" t="e">
        <f>SUM(R14:R15)</f>
        <v>#DIV/0!</v>
      </c>
      <c r="S16" s="340" t="e">
        <f>SUM(S14:S15)</f>
        <v>#DIV/0!</v>
      </c>
      <c r="T16" s="308"/>
      <c r="U16" s="339" t="e">
        <f>SUM(U14:U15)</f>
        <v>#DIV/0!</v>
      </c>
      <c r="V16" s="340" t="e">
        <f>SUM(V14:V15)</f>
        <v>#DIV/0!</v>
      </c>
    </row>
    <row r="17" spans="1:45">
      <c r="A17" s="308"/>
      <c r="B17" s="308"/>
      <c r="C17" s="341"/>
      <c r="D17" s="323"/>
      <c r="E17" s="308"/>
      <c r="F17" s="341"/>
      <c r="G17" s="323"/>
      <c r="H17" s="308"/>
      <c r="I17" s="341"/>
      <c r="J17" s="323"/>
      <c r="K17" s="308"/>
      <c r="L17" s="341"/>
      <c r="M17" s="323"/>
      <c r="N17" s="308"/>
      <c r="O17" s="341"/>
      <c r="P17" s="323"/>
      <c r="Q17" s="308"/>
      <c r="R17" s="341"/>
      <c r="S17" s="323"/>
      <c r="T17" s="308"/>
      <c r="U17" s="341"/>
      <c r="V17" s="323"/>
    </row>
    <row r="18" spans="1:45" ht="17.25">
      <c r="A18" s="327">
        <v>9</v>
      </c>
      <c r="B18" s="342" t="s">
        <v>591</v>
      </c>
      <c r="C18" s="343">
        <f>((M51-I51)/1000)-1</f>
        <v>12.733997555827024</v>
      </c>
      <c r="D18" s="344">
        <f>(C18/C20)*D20</f>
        <v>8.8195025602359669E-3</v>
      </c>
      <c r="E18" s="318"/>
      <c r="F18" s="343">
        <f>((O51-M51)/1000)</f>
        <v>30.733169016194182</v>
      </c>
      <c r="G18" s="344" t="e">
        <f>(F18/F20)*G20</f>
        <v>#REF!</v>
      </c>
      <c r="H18" s="318"/>
      <c r="I18" s="343">
        <f>((P51-O51)/1000)</f>
        <v>76.476542625373341</v>
      </c>
      <c r="J18" s="344" t="e">
        <f>(I18/I20)*J20</f>
        <v>#REF!</v>
      </c>
      <c r="K18" s="308"/>
      <c r="L18" s="343">
        <f>((R51-P51)/1000)</f>
        <v>48.835604842409957</v>
      </c>
      <c r="M18" s="344" t="e">
        <f>(L18/L20)*M20</f>
        <v>#DIV/0!</v>
      </c>
      <c r="N18" s="308"/>
      <c r="O18" s="343">
        <f>((S51-R51)/1000)</f>
        <v>46.477943861636568</v>
      </c>
      <c r="P18" s="344" t="e">
        <f>(O18/O20)*P20</f>
        <v>#DIV/0!</v>
      </c>
      <c r="Q18" s="308"/>
      <c r="R18" s="343">
        <f>((U51-S51)/1000)</f>
        <v>39.074810376699901</v>
      </c>
      <c r="S18" s="344" t="e">
        <f>(R18/R20)*S20</f>
        <v>#DIV/0!</v>
      </c>
      <c r="T18" s="308"/>
      <c r="U18" s="343">
        <f>((V51-U51)/1000)</f>
        <v>46.898565818239121</v>
      </c>
      <c r="V18" s="344" t="e">
        <f>(U18/U20)*V20</f>
        <v>#DIV/0!</v>
      </c>
    </row>
    <row r="19" spans="1:45">
      <c r="A19" s="308"/>
      <c r="B19" s="308"/>
      <c r="C19" s="308"/>
      <c r="D19" s="345"/>
      <c r="E19" s="308"/>
      <c r="F19" s="308"/>
      <c r="G19" s="345"/>
      <c r="H19" s="308"/>
      <c r="I19" s="308"/>
      <c r="J19" s="345"/>
      <c r="K19" s="308"/>
      <c r="L19" s="308"/>
      <c r="M19" s="345"/>
      <c r="N19" s="308"/>
      <c r="O19" s="308"/>
      <c r="P19" s="345"/>
      <c r="Q19" s="308"/>
      <c r="R19" s="308"/>
      <c r="S19" s="345"/>
      <c r="T19" s="308"/>
      <c r="U19" s="308"/>
      <c r="V19" s="345"/>
    </row>
    <row r="20" spans="1:45" ht="17.25">
      <c r="A20" s="327">
        <v>10</v>
      </c>
      <c r="B20" s="346" t="s">
        <v>592</v>
      </c>
      <c r="C20" s="329">
        <f>C12+C16+C18</f>
        <v>75.079956990827014</v>
      </c>
      <c r="D20" s="347">
        <v>5.1999999999999998E-2</v>
      </c>
      <c r="E20" s="348"/>
      <c r="F20" s="329" t="e">
        <f>F12+F16+F18</f>
        <v>#REF!</v>
      </c>
      <c r="G20" s="347">
        <v>8.6999999999999994E-2</v>
      </c>
      <c r="H20" s="348"/>
      <c r="I20" s="329" t="e">
        <f>I12+I16+I18</f>
        <v>#REF!</v>
      </c>
      <c r="J20" s="347">
        <v>0.03</v>
      </c>
      <c r="K20" s="308"/>
      <c r="L20" s="329" t="e">
        <f>L12+L16+L18</f>
        <v>#DIV/0!</v>
      </c>
      <c r="M20" s="347">
        <v>1.2E-2</v>
      </c>
      <c r="N20" s="308"/>
      <c r="O20" s="329" t="e">
        <f>O12+O16+O18</f>
        <v>#DIV/0!</v>
      </c>
      <c r="P20" s="347">
        <v>2.7E-2</v>
      </c>
      <c r="Q20" s="308"/>
      <c r="R20" s="329" t="e">
        <f>R12+R16+R18</f>
        <v>#DIV/0!</v>
      </c>
      <c r="S20" s="347">
        <v>0.03</v>
      </c>
      <c r="T20" s="308"/>
      <c r="U20" s="329" t="e">
        <f>U12+U16+U18</f>
        <v>#DIV/0!</v>
      </c>
      <c r="V20" s="347">
        <v>3.4000000000000002E-2</v>
      </c>
    </row>
    <row r="21" spans="1:45">
      <c r="A21" s="308"/>
      <c r="B21" s="308"/>
      <c r="C21" s="308"/>
      <c r="D21" s="345"/>
      <c r="E21" s="308"/>
      <c r="F21" s="308"/>
      <c r="G21" s="345"/>
      <c r="H21" s="308"/>
      <c r="I21" s="308"/>
      <c r="J21" s="345"/>
      <c r="K21" s="308"/>
      <c r="L21" s="308"/>
      <c r="M21" s="308"/>
      <c r="N21" s="308"/>
      <c r="O21" s="308"/>
      <c r="P21" s="308"/>
      <c r="Q21" s="308"/>
      <c r="R21" s="308"/>
      <c r="S21" s="308"/>
      <c r="T21" s="308"/>
      <c r="U21" s="308"/>
      <c r="V21" s="308"/>
    </row>
    <row r="22" spans="1:45" hidden="1">
      <c r="A22" s="327">
        <v>11</v>
      </c>
      <c r="B22" s="342" t="s">
        <v>304</v>
      </c>
      <c r="C22" s="349"/>
      <c r="D22" s="344">
        <f>-0.002</f>
        <v>-2E-3</v>
      </c>
      <c r="E22" s="318"/>
      <c r="F22" s="349"/>
      <c r="G22" s="344">
        <v>-1.4880000000000001E-2</v>
      </c>
      <c r="H22" s="318"/>
      <c r="I22" s="349"/>
      <c r="J22" s="347">
        <f>G22-D22</f>
        <v>-1.2880000000000001E-2</v>
      </c>
      <c r="K22" s="308"/>
      <c r="L22" s="308"/>
      <c r="M22" s="308"/>
      <c r="N22" s="308"/>
      <c r="O22" s="308"/>
      <c r="P22" s="308"/>
      <c r="Q22" s="308"/>
      <c r="R22" s="308"/>
      <c r="S22" s="308"/>
      <c r="T22" s="308"/>
      <c r="U22" s="308"/>
      <c r="V22" s="308"/>
    </row>
    <row r="23" spans="1:45" hidden="1">
      <c r="A23" s="308"/>
      <c r="B23" s="308"/>
      <c r="C23" s="308"/>
      <c r="D23" s="345"/>
      <c r="E23" s="308"/>
      <c r="F23" s="308"/>
      <c r="G23" s="345"/>
      <c r="H23" s="308"/>
      <c r="I23" s="308"/>
      <c r="J23" s="345"/>
      <c r="K23" s="308"/>
      <c r="L23" s="308"/>
      <c r="M23" s="308"/>
      <c r="N23" s="308"/>
      <c r="O23" s="308"/>
      <c r="P23" s="308"/>
      <c r="Q23" s="308"/>
      <c r="R23" s="308"/>
      <c r="S23" s="308"/>
      <c r="T23" s="308"/>
      <c r="U23" s="308"/>
      <c r="V23" s="308"/>
    </row>
    <row r="24" spans="1:45" ht="17.25" hidden="1">
      <c r="A24" s="327">
        <v>12</v>
      </c>
      <c r="B24" s="346" t="s">
        <v>593</v>
      </c>
      <c r="C24" s="350"/>
      <c r="D24" s="347">
        <f>D22+D20</f>
        <v>4.9999999999999996E-2</v>
      </c>
      <c r="E24" s="348"/>
      <c r="F24" s="350"/>
      <c r="G24" s="347">
        <f>G20+G22</f>
        <v>7.211999999999999E-2</v>
      </c>
      <c r="H24" s="348"/>
      <c r="I24" s="350"/>
      <c r="J24" s="347">
        <f>G24-D24</f>
        <v>2.2119999999999994E-2</v>
      </c>
      <c r="K24" s="308"/>
      <c r="L24" s="308"/>
      <c r="M24" s="308"/>
      <c r="N24" s="308"/>
      <c r="O24" s="308"/>
      <c r="P24" s="308"/>
      <c r="Q24" s="308"/>
      <c r="R24" s="308"/>
      <c r="S24" s="308"/>
      <c r="T24" s="308"/>
      <c r="U24" s="308"/>
      <c r="V24" s="308"/>
    </row>
    <row r="25" spans="1:45">
      <c r="A25" s="308"/>
      <c r="B25" s="308"/>
      <c r="C25" s="308"/>
      <c r="D25" s="308"/>
      <c r="E25" s="308"/>
      <c r="F25" s="308"/>
      <c r="G25" s="308"/>
      <c r="H25" s="308"/>
      <c r="I25" s="308"/>
      <c r="J25" s="308"/>
      <c r="K25" s="308"/>
      <c r="L25" s="308"/>
      <c r="M25" s="308"/>
      <c r="N25" s="308"/>
      <c r="O25" s="308"/>
      <c r="P25" s="308"/>
      <c r="Q25" s="308"/>
      <c r="R25" s="308"/>
      <c r="S25" s="308"/>
      <c r="T25" s="308"/>
      <c r="U25" s="308"/>
      <c r="V25" s="308"/>
    </row>
    <row r="26" spans="1:45">
      <c r="A26" s="308" t="s">
        <v>305</v>
      </c>
      <c r="B26" s="308"/>
      <c r="C26" s="308"/>
      <c r="D26" s="308"/>
      <c r="E26" s="308"/>
      <c r="F26" s="308"/>
      <c r="G26" s="308"/>
      <c r="H26" s="308"/>
      <c r="I26" s="308"/>
      <c r="J26" s="308"/>
      <c r="K26" s="308"/>
      <c r="L26" s="308"/>
      <c r="M26" s="308"/>
      <c r="N26" s="308"/>
      <c r="O26" s="308"/>
      <c r="P26" s="308"/>
      <c r="Q26" s="308"/>
      <c r="R26" s="308"/>
      <c r="S26" s="308"/>
      <c r="T26" s="308"/>
      <c r="U26" s="308"/>
      <c r="V26" s="308"/>
    </row>
    <row r="27" spans="1:45">
      <c r="A27" s="308" t="s">
        <v>306</v>
      </c>
      <c r="B27" s="308"/>
      <c r="C27" s="308"/>
      <c r="D27" s="308"/>
      <c r="E27" s="308"/>
      <c r="F27" s="308"/>
      <c r="G27" s="308"/>
      <c r="H27" s="308"/>
      <c r="I27" s="308"/>
      <c r="J27" s="308"/>
      <c r="K27" s="308"/>
      <c r="L27" s="308"/>
      <c r="M27" s="308"/>
      <c r="N27" s="308"/>
      <c r="O27" s="308"/>
      <c r="P27" s="308"/>
      <c r="Q27" s="308"/>
      <c r="R27" s="308"/>
      <c r="S27" s="308"/>
      <c r="T27" s="308"/>
      <c r="U27" s="308"/>
      <c r="V27" s="308"/>
    </row>
    <row r="28" spans="1:45">
      <c r="A28" s="308" t="s">
        <v>307</v>
      </c>
      <c r="B28" s="308"/>
      <c r="C28" s="308"/>
      <c r="D28" s="308"/>
      <c r="E28" s="308"/>
      <c r="F28" s="308"/>
      <c r="G28" s="308"/>
      <c r="H28" s="308"/>
      <c r="I28" s="308"/>
      <c r="J28" s="308"/>
      <c r="K28" s="308"/>
      <c r="L28" s="308"/>
      <c r="M28" s="308"/>
      <c r="N28" s="308"/>
      <c r="O28" s="308"/>
      <c r="P28" s="308"/>
      <c r="Q28" s="308"/>
      <c r="R28" s="308"/>
      <c r="S28" s="308"/>
      <c r="T28" s="308"/>
      <c r="U28" s="308"/>
      <c r="V28" s="308"/>
    </row>
    <row r="29" spans="1:45">
      <c r="A29" s="308" t="s">
        <v>308</v>
      </c>
      <c r="B29" s="308"/>
      <c r="C29" s="308"/>
      <c r="D29" s="308"/>
      <c r="E29" s="308"/>
      <c r="F29" s="308"/>
      <c r="G29" s="308"/>
      <c r="H29" s="308"/>
      <c r="I29" s="308"/>
      <c r="J29" s="308"/>
      <c r="K29" s="308"/>
      <c r="L29" s="308"/>
      <c r="M29" s="308"/>
      <c r="N29" s="308"/>
      <c r="O29" s="308"/>
      <c r="P29" s="308"/>
      <c r="Q29" s="308"/>
      <c r="R29" s="308"/>
      <c r="S29" s="308"/>
      <c r="T29" s="308"/>
      <c r="U29" s="308"/>
      <c r="V29" s="308"/>
    </row>
    <row r="30" spans="1:45">
      <c r="K30" s="308"/>
      <c r="L30" s="308"/>
      <c r="M30" s="308"/>
      <c r="N30" s="308"/>
      <c r="O30" s="308"/>
      <c r="P30" s="308"/>
      <c r="Q30" s="308"/>
      <c r="R30" s="308"/>
      <c r="S30" s="308"/>
      <c r="T30" s="308"/>
      <c r="U30" s="308"/>
      <c r="V30" s="308"/>
    </row>
    <row r="31" spans="1:45" ht="15.75" thickBot="1">
      <c r="L31" s="351"/>
    </row>
    <row r="32" spans="1:45">
      <c r="A32" s="413" t="s">
        <v>98</v>
      </c>
      <c r="B32" s="414"/>
      <c r="C32" s="414"/>
      <c r="D32" s="352"/>
      <c r="E32" s="352"/>
      <c r="F32" s="353"/>
      <c r="G32" s="353"/>
      <c r="H32" s="354"/>
      <c r="I32" s="355" t="s">
        <v>310</v>
      </c>
      <c r="J32" s="354"/>
      <c r="K32" s="353"/>
      <c r="L32" s="353"/>
      <c r="M32" s="355" t="s">
        <v>310</v>
      </c>
      <c r="N32" s="354"/>
      <c r="O32" s="355" t="s">
        <v>310</v>
      </c>
      <c r="P32" s="355" t="s">
        <v>310</v>
      </c>
      <c r="Q32" s="354"/>
      <c r="R32" s="355" t="s">
        <v>310</v>
      </c>
      <c r="S32" s="355" t="s">
        <v>310</v>
      </c>
      <c r="T32" s="354"/>
      <c r="U32" s="355" t="s">
        <v>310</v>
      </c>
      <c r="V32" s="355" t="s">
        <v>310</v>
      </c>
      <c r="X32" s="318"/>
      <c r="Y32" s="318"/>
      <c r="Z32" s="318"/>
      <c r="AA32" s="318"/>
      <c r="AB32" s="318"/>
      <c r="AC32" s="356" t="s">
        <v>310</v>
      </c>
      <c r="AD32" s="356" t="s">
        <v>310</v>
      </c>
      <c r="AE32" s="356" t="s">
        <v>310</v>
      </c>
      <c r="AF32" s="356" t="s">
        <v>310</v>
      </c>
      <c r="AG32" s="356" t="s">
        <v>310</v>
      </c>
      <c r="AH32" s="356" t="s">
        <v>310</v>
      </c>
      <c r="AI32" s="356" t="s">
        <v>310</v>
      </c>
      <c r="AJ32" s="356" t="s">
        <v>310</v>
      </c>
      <c r="AK32" s="357"/>
      <c r="AL32" s="358"/>
      <c r="AM32" s="357"/>
      <c r="AN32" s="357"/>
      <c r="AO32" s="358"/>
      <c r="AP32" s="357"/>
      <c r="AQ32" s="357"/>
      <c r="AR32" s="357"/>
      <c r="AS32" s="357"/>
    </row>
    <row r="33" spans="1:45">
      <c r="A33" s="359"/>
      <c r="B33" s="352"/>
      <c r="C33" s="352"/>
      <c r="D33" s="352"/>
      <c r="E33" s="352"/>
      <c r="F33" s="412" t="s">
        <v>314</v>
      </c>
      <c r="G33" s="412"/>
      <c r="H33" s="354"/>
      <c r="I33" s="360" t="s">
        <v>311</v>
      </c>
      <c r="J33" s="354"/>
      <c r="K33" s="412" t="s">
        <v>315</v>
      </c>
      <c r="L33" s="412"/>
      <c r="M33" s="360" t="s">
        <v>316</v>
      </c>
      <c r="N33" s="354"/>
      <c r="O33" s="360" t="s">
        <v>317</v>
      </c>
      <c r="P33" s="360" t="s">
        <v>318</v>
      </c>
      <c r="Q33" s="354"/>
      <c r="R33" s="360" t="s">
        <v>319</v>
      </c>
      <c r="S33" s="360" t="s">
        <v>320</v>
      </c>
      <c r="T33" s="354"/>
      <c r="U33" s="360" t="s">
        <v>321</v>
      </c>
      <c r="V33" s="360" t="s">
        <v>322</v>
      </c>
      <c r="X33" s="361" t="s">
        <v>313</v>
      </c>
      <c r="Y33" s="324"/>
      <c r="Z33" s="324"/>
      <c r="AA33" s="324"/>
      <c r="AB33" s="324"/>
      <c r="AC33" s="362" t="s">
        <v>311</v>
      </c>
      <c r="AD33" s="362" t="s">
        <v>316</v>
      </c>
      <c r="AE33" s="362" t="s">
        <v>317</v>
      </c>
      <c r="AF33" s="362" t="s">
        <v>318</v>
      </c>
      <c r="AG33" s="362" t="s">
        <v>319</v>
      </c>
      <c r="AH33" s="362" t="s">
        <v>320</v>
      </c>
      <c r="AI33" s="362" t="s">
        <v>321</v>
      </c>
      <c r="AJ33" s="362" t="s">
        <v>322</v>
      </c>
      <c r="AK33" s="357"/>
      <c r="AL33" s="358"/>
      <c r="AM33" s="357"/>
      <c r="AN33" s="357"/>
      <c r="AO33" s="358"/>
      <c r="AP33" s="357"/>
      <c r="AQ33" s="357"/>
      <c r="AR33" s="357"/>
      <c r="AS33" s="357"/>
    </row>
    <row r="34" spans="1:45">
      <c r="A34" s="363" t="s">
        <v>76</v>
      </c>
      <c r="B34" s="352"/>
      <c r="C34" s="352"/>
      <c r="D34" s="352"/>
      <c r="E34" s="352"/>
      <c r="F34" s="353">
        <v>2014</v>
      </c>
      <c r="G34" s="353">
        <v>2015</v>
      </c>
      <c r="H34" s="354"/>
      <c r="I34" s="364"/>
      <c r="J34" s="353">
        <v>2016</v>
      </c>
      <c r="K34" s="354"/>
      <c r="L34" s="353">
        <v>2017</v>
      </c>
      <c r="M34" s="364"/>
      <c r="N34" s="354"/>
      <c r="O34" s="364"/>
      <c r="P34" s="364"/>
      <c r="Q34" s="354"/>
      <c r="R34" s="364"/>
      <c r="S34" s="364"/>
      <c r="T34" s="354"/>
      <c r="U34" s="364"/>
      <c r="V34" s="364"/>
      <c r="X34" s="365" t="s">
        <v>80</v>
      </c>
      <c r="Y34" s="318"/>
      <c r="Z34" s="318"/>
      <c r="AA34" s="318"/>
      <c r="AB34" s="318"/>
      <c r="AC34" s="366">
        <f>I42</f>
        <v>197303</v>
      </c>
      <c r="AD34" s="366">
        <f>M42</f>
        <v>249531.19361328415</v>
      </c>
      <c r="AE34" s="366" t="e">
        <f>O42</f>
        <v>#REF!</v>
      </c>
      <c r="AF34" s="366">
        <f>P42</f>
        <v>347647.09201601479</v>
      </c>
      <c r="AG34" s="366" t="e">
        <f>R42</f>
        <v>#DIV/0!</v>
      </c>
      <c r="AH34" s="366" t="e">
        <f>S42</f>
        <v>#DIV/0!</v>
      </c>
      <c r="AI34" s="366" t="e">
        <f>U42</f>
        <v>#DIV/0!</v>
      </c>
      <c r="AJ34" s="366" t="e">
        <f>V42</f>
        <v>#DIV/0!</v>
      </c>
      <c r="AK34" s="357"/>
      <c r="AL34" s="358"/>
      <c r="AM34" s="357"/>
      <c r="AN34" s="357"/>
      <c r="AO34" s="358"/>
      <c r="AP34" s="357"/>
      <c r="AQ34" s="357"/>
      <c r="AR34" s="357"/>
      <c r="AS34" s="357"/>
    </row>
    <row r="35" spans="1:45">
      <c r="A35" s="359"/>
      <c r="B35" s="367" t="s">
        <v>20</v>
      </c>
      <c r="C35" s="352"/>
      <c r="D35" s="352"/>
      <c r="E35" s="352"/>
      <c r="F35" s="368">
        <v>140729</v>
      </c>
      <c r="G35" s="368">
        <v>144346</v>
      </c>
      <c r="H35" s="354"/>
      <c r="I35" s="369">
        <f t="shared" ref="I35:I43" si="0">AVERAGE(F35:G35)</f>
        <v>142537.5</v>
      </c>
      <c r="J35" s="368">
        <v>155274.46953</v>
      </c>
      <c r="K35" s="354"/>
      <c r="L35" s="368">
        <v>160800.44629999998</v>
      </c>
      <c r="M35" s="369">
        <f t="shared" ref="M35:M43" si="1">AVERAGE(J35:L35)</f>
        <v>158037.45791499998</v>
      </c>
      <c r="N35" s="354"/>
      <c r="O35" s="369" t="e">
        <f>AVERAGE('Revenue Requirement'!#REF!)</f>
        <v>#REF!</v>
      </c>
      <c r="P35" s="369">
        <f>AVERAGE('Revenue Requirement'!F9:G9)</f>
        <v>170152.52676500002</v>
      </c>
      <c r="Q35" s="354"/>
      <c r="R35" s="369" t="e">
        <f>AVERAGE('Revenue Requirement'!H9:I9)</f>
        <v>#DIV/0!</v>
      </c>
      <c r="S35" s="369" t="e">
        <f>AVERAGE('Revenue Requirement'!J9:K9)</f>
        <v>#DIV/0!</v>
      </c>
      <c r="T35" s="354"/>
      <c r="U35" s="369" t="e">
        <f>AVERAGE('Revenue Requirement'!L9:M9)</f>
        <v>#DIV/0!</v>
      </c>
      <c r="V35" s="369" t="e">
        <f>AVERAGE('Revenue Requirement'!N9:O9)</f>
        <v>#DIV/0!</v>
      </c>
      <c r="X35" s="370" t="s">
        <v>90</v>
      </c>
      <c r="Y35" s="318"/>
      <c r="Z35" s="318"/>
      <c r="AA35" s="318"/>
      <c r="AB35" s="318"/>
      <c r="AC35" s="366">
        <f>I45</f>
        <v>151868.5</v>
      </c>
      <c r="AD35" s="366">
        <f>M45</f>
        <v>154042.02331722312</v>
      </c>
      <c r="AE35" s="366" t="e">
        <f>O45</f>
        <v>#REF!</v>
      </c>
      <c r="AF35" s="366">
        <f>P45</f>
        <v>144065.17548630573</v>
      </c>
      <c r="AG35" s="366" t="e">
        <f>R45</f>
        <v>#DIV/0!</v>
      </c>
      <c r="AH35" s="366" t="e">
        <f>S45</f>
        <v>#DIV/0!</v>
      </c>
      <c r="AI35" s="366" t="e">
        <f>U45</f>
        <v>#DIV/0!</v>
      </c>
      <c r="AJ35" s="366" t="e">
        <f>V45</f>
        <v>#DIV/0!</v>
      </c>
      <c r="AK35" s="357"/>
      <c r="AL35" s="358"/>
      <c r="AM35" s="357"/>
      <c r="AN35" s="357"/>
      <c r="AO35" s="358"/>
      <c r="AP35" s="357"/>
      <c r="AQ35" s="357"/>
      <c r="AR35" s="357"/>
      <c r="AS35" s="357"/>
    </row>
    <row r="36" spans="1:45">
      <c r="A36" s="359"/>
      <c r="B36" s="367" t="s">
        <v>21</v>
      </c>
      <c r="C36" s="352"/>
      <c r="D36" s="352"/>
      <c r="E36" s="352"/>
      <c r="F36" s="368">
        <v>41638</v>
      </c>
      <c r="G36" s="368">
        <v>41769</v>
      </c>
      <c r="H36" s="354"/>
      <c r="I36" s="369">
        <f t="shared" si="0"/>
        <v>41703.5</v>
      </c>
      <c r="J36" s="368">
        <v>48746.031000000003</v>
      </c>
      <c r="K36" s="354"/>
      <c r="L36" s="368">
        <v>49146.964</v>
      </c>
      <c r="M36" s="369">
        <f t="shared" si="1"/>
        <v>48946.497499999998</v>
      </c>
      <c r="N36" s="354"/>
      <c r="O36" s="369" t="e">
        <f>AVERAGE('Revenue Requirement'!#REF!)</f>
        <v>#REF!</v>
      </c>
      <c r="P36" s="369">
        <f>AVERAGE('Revenue Requirement'!F10:G10)</f>
        <v>56832.042649999988</v>
      </c>
      <c r="Q36" s="354"/>
      <c r="R36" s="369" t="e">
        <f>AVERAGE('Revenue Requirement'!H10:I10)</f>
        <v>#DIV/0!</v>
      </c>
      <c r="S36" s="369" t="e">
        <f>AVERAGE('Revenue Requirement'!J10:K10)</f>
        <v>#DIV/0!</v>
      </c>
      <c r="T36" s="354"/>
      <c r="U36" s="369" t="e">
        <f>AVERAGE('Revenue Requirement'!L10:M10)</f>
        <v>#DIV/0!</v>
      </c>
      <c r="V36" s="369" t="e">
        <f>AVERAGE('Revenue Requirement'!N10:O10)</f>
        <v>#DIV/0!</v>
      </c>
      <c r="X36" s="371" t="s">
        <v>151</v>
      </c>
      <c r="Y36" s="318"/>
      <c r="Z36" s="318"/>
      <c r="AA36" s="318"/>
      <c r="AB36" s="318"/>
      <c r="AC36" s="372">
        <f>I49</f>
        <v>138796</v>
      </c>
      <c r="AD36" s="372">
        <f>M49</f>
        <v>98128.280625319749</v>
      </c>
      <c r="AE36" s="372" t="e">
        <f>O49</f>
        <v>#REF!</v>
      </c>
      <c r="AF36" s="372">
        <f>P49</f>
        <v>40017.56137871134</v>
      </c>
      <c r="AG36" s="372" t="e">
        <f>R49</f>
        <v>#DIV/0!</v>
      </c>
      <c r="AH36" s="372" t="e">
        <f>S49</f>
        <v>#DIV/0!</v>
      </c>
      <c r="AI36" s="372" t="e">
        <f>U49</f>
        <v>#DIV/0!</v>
      </c>
      <c r="AJ36" s="372" t="e">
        <f>V49</f>
        <v>#DIV/0!</v>
      </c>
      <c r="AK36" s="357"/>
      <c r="AL36" s="358"/>
      <c r="AM36" s="357"/>
      <c r="AN36" s="357"/>
      <c r="AO36" s="358"/>
      <c r="AP36" s="357"/>
      <c r="AQ36" s="357"/>
      <c r="AR36" s="357"/>
      <c r="AS36" s="357"/>
    </row>
    <row r="37" spans="1:45">
      <c r="A37" s="359"/>
      <c r="B37" s="367" t="s">
        <v>312</v>
      </c>
      <c r="C37" s="352"/>
      <c r="D37" s="352"/>
      <c r="E37" s="352"/>
      <c r="F37" s="368">
        <v>154234</v>
      </c>
      <c r="G37" s="368">
        <v>157893</v>
      </c>
      <c r="H37" s="354"/>
      <c r="I37" s="369">
        <f t="shared" si="0"/>
        <v>156063.5</v>
      </c>
      <c r="J37" s="368">
        <v>162551.64000000001</v>
      </c>
      <c r="K37" s="354"/>
      <c r="L37" s="368">
        <v>164272.17300000001</v>
      </c>
      <c r="M37" s="369">
        <f t="shared" si="1"/>
        <v>163411.90650000001</v>
      </c>
      <c r="N37" s="354"/>
      <c r="O37" s="369" t="e">
        <f>AVERAGE('Revenue Requirement'!#REF!)</f>
        <v>#REF!</v>
      </c>
      <c r="P37" s="369">
        <f>AVERAGE('Revenue Requirement'!F11:G11)</f>
        <v>178710.31063999998</v>
      </c>
      <c r="Q37" s="354"/>
      <c r="R37" s="369" t="e">
        <f>AVERAGE('Revenue Requirement'!H11:I11)</f>
        <v>#DIV/0!</v>
      </c>
      <c r="S37" s="369" t="e">
        <f>AVERAGE('Revenue Requirement'!J11:K11)</f>
        <v>#DIV/0!</v>
      </c>
      <c r="T37" s="354"/>
      <c r="U37" s="369" t="e">
        <f>AVERAGE('Revenue Requirement'!L11:M11)</f>
        <v>#DIV/0!</v>
      </c>
      <c r="V37" s="369" t="e">
        <f>AVERAGE('Revenue Requirement'!N11:O11)</f>
        <v>#DIV/0!</v>
      </c>
      <c r="X37" s="318"/>
      <c r="Y37" s="318"/>
      <c r="Z37" s="318"/>
      <c r="AA37" s="318"/>
      <c r="AB37" s="318"/>
      <c r="AC37" s="366">
        <f t="shared" ref="AC37:AJ37" si="2">SUM(AC34:AC36)</f>
        <v>487967.5</v>
      </c>
      <c r="AD37" s="366">
        <f t="shared" si="2"/>
        <v>501701.49755582702</v>
      </c>
      <c r="AE37" s="366" t="e">
        <f t="shared" si="2"/>
        <v>#REF!</v>
      </c>
      <c r="AF37" s="366">
        <f t="shared" si="2"/>
        <v>531729.82888103183</v>
      </c>
      <c r="AG37" s="366" t="e">
        <f t="shared" si="2"/>
        <v>#DIV/0!</v>
      </c>
      <c r="AH37" s="366" t="e">
        <f t="shared" si="2"/>
        <v>#DIV/0!</v>
      </c>
      <c r="AI37" s="366" t="e">
        <f t="shared" si="2"/>
        <v>#DIV/0!</v>
      </c>
      <c r="AJ37" s="366" t="e">
        <f t="shared" si="2"/>
        <v>#DIV/0!</v>
      </c>
      <c r="AK37" s="357"/>
      <c r="AL37" s="358"/>
      <c r="AM37" s="357"/>
      <c r="AN37" s="357"/>
      <c r="AO37" s="358"/>
      <c r="AP37" s="357"/>
      <c r="AQ37" s="357"/>
      <c r="AR37" s="357"/>
      <c r="AS37" s="357"/>
    </row>
    <row r="38" spans="1:45">
      <c r="A38" s="359"/>
      <c r="B38" s="367" t="s">
        <v>77</v>
      </c>
      <c r="C38" s="352"/>
      <c r="D38" s="352"/>
      <c r="E38" s="352"/>
      <c r="F38" s="368">
        <v>131287</v>
      </c>
      <c r="G38" s="368">
        <v>134244</v>
      </c>
      <c r="H38" s="354"/>
      <c r="I38" s="369">
        <f t="shared" si="0"/>
        <v>132765.5</v>
      </c>
      <c r="J38" s="368">
        <v>140766.91652</v>
      </c>
      <c r="K38" s="354"/>
      <c r="L38" s="368">
        <v>140782.48251999999</v>
      </c>
      <c r="M38" s="369">
        <f t="shared" si="1"/>
        <v>140774.69951999999</v>
      </c>
      <c r="N38" s="354"/>
      <c r="O38" s="369" t="e">
        <f>AVERAGE('Revenue Requirement'!#REF!)</f>
        <v>#REF!</v>
      </c>
      <c r="P38" s="369">
        <f>AVERAGE('Revenue Requirement'!F12:G12)</f>
        <v>109937.34234582999</v>
      </c>
      <c r="Q38" s="354"/>
      <c r="R38" s="369" t="e">
        <f>AVERAGE('Revenue Requirement'!H12:I12)</f>
        <v>#DIV/0!</v>
      </c>
      <c r="S38" s="369" t="e">
        <f>AVERAGE('Revenue Requirement'!J12:K12)</f>
        <v>#DIV/0!</v>
      </c>
      <c r="T38" s="354"/>
      <c r="U38" s="369" t="e">
        <f>AVERAGE('Revenue Requirement'!L12:M12)</f>
        <v>#DIV/0!</v>
      </c>
      <c r="V38" s="369" t="e">
        <f>AVERAGE('Revenue Requirement'!N12:O12)</f>
        <v>#DIV/0!</v>
      </c>
      <c r="X38" s="308"/>
      <c r="Y38" s="308"/>
      <c r="Z38" s="308"/>
      <c r="AA38" s="308"/>
      <c r="AB38" s="308"/>
      <c r="AC38" s="308"/>
      <c r="AD38" s="308"/>
      <c r="AE38" s="308"/>
      <c r="AF38" s="308"/>
      <c r="AG38" s="308"/>
      <c r="AH38" s="308"/>
      <c r="AI38" s="308"/>
      <c r="AJ38" s="308"/>
      <c r="AK38" s="357"/>
      <c r="AL38" s="357"/>
      <c r="AM38" s="357"/>
      <c r="AN38" s="357"/>
      <c r="AO38" s="357"/>
      <c r="AP38" s="357"/>
      <c r="AQ38" s="357"/>
      <c r="AR38" s="357"/>
      <c r="AS38" s="357"/>
    </row>
    <row r="39" spans="1:45">
      <c r="A39" s="359"/>
      <c r="B39" s="367" t="s">
        <v>78</v>
      </c>
      <c r="C39" s="352"/>
      <c r="D39" s="352"/>
      <c r="E39" s="352"/>
      <c r="F39" s="368">
        <v>78428</v>
      </c>
      <c r="G39" s="368">
        <v>80902</v>
      </c>
      <c r="H39" s="354"/>
      <c r="I39" s="369">
        <f t="shared" si="0"/>
        <v>79665</v>
      </c>
      <c r="J39" s="368">
        <v>85106.017999999996</v>
      </c>
      <c r="K39" s="354"/>
      <c r="L39" s="368">
        <v>86914.778000000006</v>
      </c>
      <c r="M39" s="369">
        <f t="shared" si="1"/>
        <v>86010.398000000001</v>
      </c>
      <c r="N39" s="354"/>
      <c r="O39" s="369" t="e">
        <f>AVERAGE('Revenue Requirement'!#REF!)</f>
        <v>#REF!</v>
      </c>
      <c r="P39" s="369">
        <f>AVERAGE('Revenue Requirement'!F13:G13)</f>
        <v>103938.46589999998</v>
      </c>
      <c r="Q39" s="354"/>
      <c r="R39" s="369" t="e">
        <f>AVERAGE('Revenue Requirement'!H13:I13)</f>
        <v>#DIV/0!</v>
      </c>
      <c r="S39" s="369" t="e">
        <f>AVERAGE('Revenue Requirement'!J13:K13)</f>
        <v>#DIV/0!</v>
      </c>
      <c r="T39" s="354"/>
      <c r="U39" s="369" t="e">
        <f>AVERAGE('Revenue Requirement'!L13:M13)</f>
        <v>#DIV/0!</v>
      </c>
      <c r="V39" s="369" t="e">
        <f>AVERAGE('Revenue Requirement'!N13:O13)</f>
        <v>#DIV/0!</v>
      </c>
      <c r="X39" s="371" t="s">
        <v>338</v>
      </c>
      <c r="Y39" s="308"/>
      <c r="Z39" s="308"/>
      <c r="AA39" s="308"/>
      <c r="AB39" s="308"/>
      <c r="AC39" s="366" t="e">
        <f>AVERAGE('Capital Input File'!#REF!)</f>
        <v>#REF!</v>
      </c>
      <c r="AD39" s="366">
        <f>AVERAGE('Capital Input File'!C58:C58)</f>
        <v>430869.62978661113</v>
      </c>
      <c r="AE39" s="366">
        <f>AVERAGE('Capital Input File'!D58:E58)</f>
        <v>449393.03966053645</v>
      </c>
      <c r="AF39" s="366" t="e">
        <f>AVERAGE('Capital Input File'!F58:G58)</f>
        <v>#DIV/0!</v>
      </c>
      <c r="AG39" s="366" t="e">
        <f>AVERAGE('Capital Input File'!H58:I58)</f>
        <v>#DIV/0!</v>
      </c>
      <c r="AH39" s="366">
        <f>'Capital Input File'!J58</f>
        <v>0</v>
      </c>
      <c r="AI39" s="366">
        <f>AH39</f>
        <v>0</v>
      </c>
      <c r="AJ39" s="366">
        <f>AI39</f>
        <v>0</v>
      </c>
      <c r="AK39" s="357"/>
      <c r="AL39" s="358"/>
      <c r="AM39" s="357"/>
      <c r="AN39" s="357"/>
      <c r="AO39" s="358"/>
      <c r="AP39" s="357"/>
      <c r="AQ39" s="357"/>
      <c r="AR39" s="357"/>
      <c r="AS39" s="357"/>
    </row>
    <row r="40" spans="1:45">
      <c r="A40" s="359"/>
      <c r="B40" s="367" t="s">
        <v>79</v>
      </c>
      <c r="C40" s="352"/>
      <c r="D40" s="352"/>
      <c r="E40" s="352"/>
      <c r="F40" s="368">
        <v>-20000</v>
      </c>
      <c r="G40" s="368">
        <v>-20000</v>
      </c>
      <c r="H40" s="354"/>
      <c r="I40" s="369">
        <f t="shared" si="0"/>
        <v>-20000</v>
      </c>
      <c r="J40" s="368">
        <v>-2100</v>
      </c>
      <c r="K40" s="354"/>
      <c r="L40" s="368">
        <v>-2100</v>
      </c>
      <c r="M40" s="369">
        <f t="shared" si="1"/>
        <v>-2100</v>
      </c>
      <c r="N40" s="354"/>
      <c r="O40" s="369" t="e">
        <f>AVERAGE('Revenue Requirement'!#REF!)</f>
        <v>#REF!</v>
      </c>
      <c r="P40" s="369">
        <f>AVERAGE('Revenue Requirement'!F14:G14)</f>
        <v>0</v>
      </c>
      <c r="Q40" s="354"/>
      <c r="R40" s="369" t="e">
        <f>AVERAGE('Revenue Requirement'!H14:I14)</f>
        <v>#DIV/0!</v>
      </c>
      <c r="S40" s="369" t="e">
        <f>AVERAGE('Revenue Requirement'!J14:K14)</f>
        <v>#DIV/0!</v>
      </c>
      <c r="T40" s="354"/>
      <c r="U40" s="369" t="e">
        <f>AVERAGE('Revenue Requirement'!L14:M14)</f>
        <v>#DIV/0!</v>
      </c>
      <c r="V40" s="369" t="e">
        <f>AVERAGE('Revenue Requirement'!N14:O14)</f>
        <v>#DIV/0!</v>
      </c>
      <c r="X40" s="371" t="s">
        <v>339</v>
      </c>
      <c r="Y40" s="308"/>
      <c r="Z40" s="308"/>
      <c r="AA40" s="308"/>
      <c r="AB40" s="308"/>
      <c r="AC40" s="366" t="e">
        <f>AVERAGE(AFUDC!F14:G14)</f>
        <v>#DIV/0!</v>
      </c>
      <c r="AD40" s="366" t="e">
        <f>AVERAGE(AFUDC!H14:I14)</f>
        <v>#DIV/0!</v>
      </c>
      <c r="AE40" s="366" t="e">
        <f>AVERAGE(AFUDC!J14:K14)</f>
        <v>#DIV/0!</v>
      </c>
      <c r="AF40" s="366" t="e">
        <f>AVERAGE(AFUDC!L14:M14)</f>
        <v>#DIV/0!</v>
      </c>
      <c r="AG40" s="366">
        <f>AVERAGE(AFUDC!N14:O14)</f>
        <v>504553.29503251199</v>
      </c>
      <c r="AH40" s="366" t="e">
        <f>AVERAGE(AFUDC!P14:Q14)</f>
        <v>#DIV/0!</v>
      </c>
      <c r="AI40" s="366" t="e">
        <f>AVERAGE(AFUDC!R14:S14)</f>
        <v>#DIV/0!</v>
      </c>
      <c r="AJ40" s="366" t="e">
        <f>AVERAGE(AFUDC!T14:U14)</f>
        <v>#DIV/0!</v>
      </c>
      <c r="AK40" s="357"/>
      <c r="AL40" s="357"/>
      <c r="AM40" s="357"/>
      <c r="AN40" s="357"/>
      <c r="AO40" s="357"/>
      <c r="AP40" s="357"/>
      <c r="AQ40" s="357"/>
      <c r="AR40" s="357"/>
      <c r="AS40" s="357"/>
    </row>
    <row r="41" spans="1:45">
      <c r="A41" s="359"/>
      <c r="B41" s="411" t="s">
        <v>100</v>
      </c>
      <c r="C41" s="411"/>
      <c r="D41" s="352"/>
      <c r="E41" s="352"/>
      <c r="F41" s="368">
        <v>-20000</v>
      </c>
      <c r="G41" s="368">
        <v>-20000</v>
      </c>
      <c r="H41" s="354"/>
      <c r="I41" s="369">
        <f t="shared" si="0"/>
        <v>-20000</v>
      </c>
      <c r="J41" s="368">
        <v>0</v>
      </c>
      <c r="K41" s="354"/>
      <c r="L41" s="368">
        <v>0</v>
      </c>
      <c r="M41" s="369">
        <f t="shared" si="1"/>
        <v>0</v>
      </c>
      <c r="N41" s="354"/>
      <c r="O41" s="369" t="e">
        <f>AVERAGE('Revenue Requirement'!#REF!)</f>
        <v>#REF!</v>
      </c>
      <c r="P41" s="369" t="e">
        <f>AVERAGE('Revenue Requirement'!#REF!)</f>
        <v>#REF!</v>
      </c>
      <c r="Q41" s="354"/>
      <c r="R41" s="369" t="e">
        <f>AVERAGE('Revenue Requirement'!#REF!)</f>
        <v>#REF!</v>
      </c>
      <c r="S41" s="369" t="e">
        <f>AVERAGE('Revenue Requirement'!#REF!)</f>
        <v>#REF!</v>
      </c>
      <c r="T41" s="354"/>
      <c r="U41" s="369" t="e">
        <f>AVERAGE('Revenue Requirement'!#REF!)</f>
        <v>#REF!</v>
      </c>
      <c r="V41" s="369" t="e">
        <f>AVERAGE('Revenue Requirement'!#REF!)</f>
        <v>#REF!</v>
      </c>
      <c r="AK41" s="357"/>
      <c r="AL41" s="357"/>
      <c r="AM41" s="357"/>
      <c r="AN41" s="357"/>
      <c r="AO41" s="357"/>
      <c r="AP41" s="357"/>
      <c r="AQ41" s="357"/>
      <c r="AR41" s="357"/>
      <c r="AS41" s="357"/>
    </row>
    <row r="42" spans="1:45">
      <c r="A42" s="359"/>
      <c r="B42" s="367" t="s">
        <v>80</v>
      </c>
      <c r="C42" s="352"/>
      <c r="D42" s="352"/>
      <c r="E42" s="352"/>
      <c r="F42" s="368">
        <v>192141</v>
      </c>
      <c r="G42" s="368">
        <v>202465</v>
      </c>
      <c r="H42" s="354"/>
      <c r="I42" s="369">
        <f t="shared" si="0"/>
        <v>197303</v>
      </c>
      <c r="J42" s="368">
        <v>239852.19361328415</v>
      </c>
      <c r="K42" s="354"/>
      <c r="L42" s="368">
        <v>259210.19361328415</v>
      </c>
      <c r="M42" s="369">
        <f t="shared" si="1"/>
        <v>249531.19361328415</v>
      </c>
      <c r="N42" s="354"/>
      <c r="O42" s="369" t="e">
        <f>AVERAGE('Revenue Requirement'!#REF!)</f>
        <v>#REF!</v>
      </c>
      <c r="P42" s="369">
        <f>AVERAGE('Revenue Requirement'!F15:G15)</f>
        <v>347647.09201601479</v>
      </c>
      <c r="Q42" s="354"/>
      <c r="R42" s="369" t="e">
        <f>AVERAGE('Revenue Requirement'!H15:I15)</f>
        <v>#DIV/0!</v>
      </c>
      <c r="S42" s="369" t="e">
        <f>AVERAGE('Revenue Requirement'!J15:K15)</f>
        <v>#DIV/0!</v>
      </c>
      <c r="T42" s="354"/>
      <c r="U42" s="369" t="e">
        <f>AVERAGE('Revenue Requirement'!L15:M15)</f>
        <v>#DIV/0!</v>
      </c>
      <c r="V42" s="369" t="e">
        <f>AVERAGE('Revenue Requirement'!N15:O15)</f>
        <v>#DIV/0!</v>
      </c>
      <c r="AD42" s="373" t="s">
        <v>341</v>
      </c>
      <c r="AF42" s="373" t="s">
        <v>340</v>
      </c>
      <c r="AK42" s="357"/>
      <c r="AL42" s="357"/>
      <c r="AM42" s="357"/>
      <c r="AN42" s="357"/>
      <c r="AO42" s="357"/>
      <c r="AP42" s="357"/>
      <c r="AQ42" s="357"/>
      <c r="AR42" s="357"/>
      <c r="AS42" s="357"/>
    </row>
    <row r="43" spans="1:45">
      <c r="A43" s="374" t="s">
        <v>81</v>
      </c>
      <c r="B43" s="352"/>
      <c r="C43" s="352"/>
      <c r="D43" s="352"/>
      <c r="E43" s="352"/>
      <c r="F43" s="368">
        <f>F35+F36+F37+F38+F39+F40+F42</f>
        <v>718457</v>
      </c>
      <c r="G43" s="368">
        <f>G35+G36+G37+G38+G39+G40+G42</f>
        <v>741619</v>
      </c>
      <c r="H43" s="354"/>
      <c r="I43" s="369">
        <f t="shared" si="0"/>
        <v>730038</v>
      </c>
      <c r="J43" s="368">
        <v>830197.26866328425</v>
      </c>
      <c r="K43" s="354"/>
      <c r="L43" s="368">
        <v>859027.03743328422</v>
      </c>
      <c r="M43" s="369">
        <f t="shared" si="1"/>
        <v>844612.15304828424</v>
      </c>
      <c r="N43" s="354"/>
      <c r="O43" s="369" t="e">
        <f>AVERAGE('Revenue Requirement'!#REF!)</f>
        <v>#REF!</v>
      </c>
      <c r="P43" s="369">
        <f>AVERAGE('Revenue Requirement'!F16:G16)</f>
        <v>967217.78031684482</v>
      </c>
      <c r="Q43" s="354"/>
      <c r="R43" s="369" t="e">
        <f>AVERAGE('Revenue Requirement'!H16:I16)</f>
        <v>#DIV/0!</v>
      </c>
      <c r="S43" s="369" t="e">
        <f>AVERAGE('Revenue Requirement'!J16:K16)</f>
        <v>#DIV/0!</v>
      </c>
      <c r="T43" s="354"/>
      <c r="U43" s="369" t="e">
        <f>AVERAGE('Revenue Requirement'!L16:M16)</f>
        <v>#DIV/0!</v>
      </c>
      <c r="V43" s="369" t="e">
        <f>AVERAGE('Revenue Requirement'!N16:O16)</f>
        <v>#DIV/0!</v>
      </c>
    </row>
    <row r="44" spans="1:45">
      <c r="A44" s="359"/>
      <c r="B44" s="352"/>
      <c r="C44" s="352"/>
      <c r="D44" s="352"/>
      <c r="E44" s="352"/>
      <c r="F44" s="375"/>
      <c r="G44" s="375"/>
      <c r="H44" s="354"/>
      <c r="I44" s="364"/>
      <c r="J44" s="375"/>
      <c r="K44" s="354"/>
      <c r="L44" s="375"/>
      <c r="M44" s="364"/>
      <c r="N44" s="354"/>
      <c r="O44" s="364"/>
      <c r="P44" s="364"/>
      <c r="Q44" s="354"/>
      <c r="R44" s="364"/>
      <c r="S44" s="364"/>
      <c r="T44" s="354"/>
      <c r="U44" s="364"/>
      <c r="V44" s="364"/>
    </row>
    <row r="45" spans="1:45">
      <c r="A45" s="376" t="s">
        <v>90</v>
      </c>
      <c r="B45" s="352"/>
      <c r="C45" s="352"/>
      <c r="D45" s="352"/>
      <c r="E45" s="352"/>
      <c r="F45" s="377">
        <v>143924</v>
      </c>
      <c r="G45" s="377">
        <v>159813</v>
      </c>
      <c r="H45" s="354"/>
      <c r="I45" s="369">
        <f>AVERAGE(F45:G45)</f>
        <v>151868.5</v>
      </c>
      <c r="J45" s="377">
        <v>150702.18057672918</v>
      </c>
      <c r="K45" s="354"/>
      <c r="L45" s="377">
        <v>157381.86605771707</v>
      </c>
      <c r="M45" s="369">
        <f>AVERAGE(J45:L45)</f>
        <v>154042.02331722312</v>
      </c>
      <c r="N45" s="354"/>
      <c r="O45" s="369" t="e">
        <f>AVERAGE('Revenue Requirement'!#REF!)</f>
        <v>#REF!</v>
      </c>
      <c r="P45" s="369">
        <f>AVERAGE('Revenue Requirement'!F30:G30)</f>
        <v>144065.17548630573</v>
      </c>
      <c r="Q45" s="354"/>
      <c r="R45" s="369" t="e">
        <f>AVERAGE('Revenue Requirement'!H30:I30)</f>
        <v>#DIV/0!</v>
      </c>
      <c r="S45" s="369" t="e">
        <f>AVERAGE('Revenue Requirement'!J30:K30)</f>
        <v>#DIV/0!</v>
      </c>
      <c r="T45" s="354"/>
      <c r="U45" s="369" t="e">
        <f>AVERAGE('Revenue Requirement'!L30:M30)</f>
        <v>#DIV/0!</v>
      </c>
      <c r="V45" s="369" t="e">
        <f>AVERAGE('Revenue Requirement'!N30:O30)</f>
        <v>#DIV/0!</v>
      </c>
      <c r="AD45" s="351"/>
      <c r="AE45" s="351"/>
      <c r="AF45" s="351"/>
      <c r="AG45" s="351"/>
      <c r="AH45" s="351"/>
      <c r="AI45" s="351"/>
      <c r="AJ45" s="351"/>
    </row>
    <row r="46" spans="1:45">
      <c r="A46" s="359"/>
      <c r="B46" s="352"/>
      <c r="C46" s="352"/>
      <c r="D46" s="352"/>
      <c r="E46" s="352"/>
      <c r="F46" s="375"/>
      <c r="G46" s="375"/>
      <c r="H46" s="354"/>
      <c r="I46" s="364"/>
      <c r="J46" s="375"/>
      <c r="K46" s="354"/>
      <c r="L46" s="375"/>
      <c r="M46" s="364"/>
      <c r="N46" s="354"/>
      <c r="O46" s="364"/>
      <c r="P46" s="364"/>
      <c r="Q46" s="354"/>
      <c r="R46" s="364"/>
      <c r="S46" s="364"/>
      <c r="T46" s="354"/>
      <c r="U46" s="364"/>
      <c r="V46" s="364"/>
    </row>
    <row r="47" spans="1:45">
      <c r="A47" s="378" t="s">
        <v>95</v>
      </c>
      <c r="B47" s="352"/>
      <c r="C47" s="352"/>
      <c r="D47" s="352"/>
      <c r="E47" s="352"/>
      <c r="F47" s="377">
        <f>F45+F43</f>
        <v>862381</v>
      </c>
      <c r="G47" s="377">
        <f>G45+G43</f>
        <v>901432</v>
      </c>
      <c r="H47" s="354"/>
      <c r="I47" s="369">
        <f>AVERAGE(F47:G47)</f>
        <v>881906.5</v>
      </c>
      <c r="J47" s="377">
        <f>J45+J43+J49</f>
        <v>1090709.1215247675</v>
      </c>
      <c r="K47" s="354"/>
      <c r="L47" s="377">
        <f>L45+L43+L49</f>
        <v>1102855.7924568867</v>
      </c>
      <c r="M47" s="369">
        <f>AVERAGE(J47:L47)</f>
        <v>1096782.4569908271</v>
      </c>
      <c r="N47" s="354"/>
      <c r="O47" s="369" t="e">
        <f>O45+O43+O49</f>
        <v>#REF!</v>
      </c>
      <c r="P47" s="369">
        <f>P45+P43+P49</f>
        <v>1151300.5171818619</v>
      </c>
      <c r="Q47" s="354"/>
      <c r="R47" s="369" t="e">
        <f>R45+R43+R49</f>
        <v>#DIV/0!</v>
      </c>
      <c r="S47" s="369" t="e">
        <f>S45+S43+S49</f>
        <v>#DIV/0!</v>
      </c>
      <c r="T47" s="354"/>
      <c r="U47" s="369" t="e">
        <f>U45+U43+U49</f>
        <v>#DIV/0!</v>
      </c>
      <c r="V47" s="369" t="e">
        <f>V45+V43+V49</f>
        <v>#DIV/0!</v>
      </c>
    </row>
    <row r="48" spans="1:45">
      <c r="A48" s="359"/>
      <c r="B48" s="352"/>
      <c r="C48" s="352"/>
      <c r="D48" s="352"/>
      <c r="E48" s="352"/>
      <c r="F48" s="375"/>
      <c r="G48" s="375"/>
      <c r="H48" s="354"/>
      <c r="I48" s="364"/>
      <c r="J48" s="375"/>
      <c r="K48" s="354"/>
      <c r="L48" s="375"/>
      <c r="M48" s="364"/>
      <c r="N48" s="354"/>
      <c r="O48" s="364"/>
      <c r="P48" s="364"/>
      <c r="Q48" s="354"/>
      <c r="R48" s="364"/>
      <c r="S48" s="364"/>
      <c r="T48" s="354"/>
      <c r="U48" s="364"/>
      <c r="V48" s="364"/>
    </row>
    <row r="49" spans="1:22">
      <c r="A49" s="379" t="s">
        <v>92</v>
      </c>
      <c r="B49" s="352"/>
      <c r="C49" s="352"/>
      <c r="D49" s="352"/>
      <c r="E49" s="352"/>
      <c r="F49" s="377">
        <v>147145</v>
      </c>
      <c r="G49" s="377">
        <v>130447</v>
      </c>
      <c r="H49" s="354"/>
      <c r="I49" s="369">
        <f>AVERAGE(F49:G49)</f>
        <v>138796</v>
      </c>
      <c r="J49" s="377">
        <v>109809.67228475411</v>
      </c>
      <c r="K49" s="354"/>
      <c r="L49" s="377">
        <v>86446.888965885388</v>
      </c>
      <c r="M49" s="369">
        <f>AVERAGE(J49:L49)</f>
        <v>98128.280625319749</v>
      </c>
      <c r="N49" s="354"/>
      <c r="O49" s="369" t="e">
        <f>AVERAGE('Revenue Requirement'!#REF!)</f>
        <v>#REF!</v>
      </c>
      <c r="P49" s="369">
        <f>AVERAGE('Revenue Requirement'!F34:G34)</f>
        <v>40017.56137871134</v>
      </c>
      <c r="Q49" s="354"/>
      <c r="R49" s="369" t="e">
        <f>AVERAGE('Revenue Requirement'!H34:I34)</f>
        <v>#DIV/0!</v>
      </c>
      <c r="S49" s="369" t="e">
        <f>AVERAGE('Revenue Requirement'!J34:K34)</f>
        <v>#DIV/0!</v>
      </c>
      <c r="T49" s="354"/>
      <c r="U49" s="369" t="e">
        <f>AVERAGE('Revenue Requirement'!L34:M34)</f>
        <v>#DIV/0!</v>
      </c>
      <c r="V49" s="369" t="e">
        <f>AVERAGE('Revenue Requirement'!N34:O34)</f>
        <v>#DIV/0!</v>
      </c>
    </row>
    <row r="50" spans="1:22">
      <c r="A50" s="380"/>
      <c r="B50" s="352"/>
      <c r="C50" s="352"/>
      <c r="D50" s="352"/>
      <c r="E50" s="352"/>
      <c r="F50" s="377"/>
      <c r="G50" s="377"/>
      <c r="H50" s="354"/>
      <c r="I50" s="369"/>
      <c r="J50" s="377"/>
      <c r="K50" s="354"/>
      <c r="L50" s="377"/>
      <c r="M50" s="369"/>
      <c r="N50" s="354"/>
      <c r="O50" s="369"/>
      <c r="P50" s="369"/>
      <c r="Q50" s="354"/>
      <c r="R50" s="369"/>
      <c r="S50" s="369"/>
      <c r="T50" s="354"/>
      <c r="U50" s="369"/>
      <c r="V50" s="369"/>
    </row>
    <row r="51" spans="1:22" ht="15.75" thickBot="1">
      <c r="A51" s="381" t="s">
        <v>313</v>
      </c>
      <c r="B51" s="352"/>
      <c r="C51" s="382"/>
      <c r="D51" s="382"/>
      <c r="E51" s="382"/>
      <c r="F51" s="383">
        <f>F49+F45+F42</f>
        <v>483210</v>
      </c>
      <c r="G51" s="384">
        <f>G49+G45+G42</f>
        <v>492725</v>
      </c>
      <c r="H51" s="354"/>
      <c r="I51" s="385">
        <f>I49+I45+I42</f>
        <v>487967.5</v>
      </c>
      <c r="J51" s="383">
        <v>500364.04647476744</v>
      </c>
      <c r="K51" s="354"/>
      <c r="L51" s="384">
        <v>503038.94863688661</v>
      </c>
      <c r="M51" s="385">
        <f>M49+M45+M42</f>
        <v>501701.49755582702</v>
      </c>
      <c r="N51" s="354"/>
      <c r="O51" s="385">
        <v>532434.6665720212</v>
      </c>
      <c r="P51" s="385">
        <v>608911.20919739455</v>
      </c>
      <c r="Q51" s="354"/>
      <c r="R51" s="385">
        <v>657746.81403980451</v>
      </c>
      <c r="S51" s="385">
        <v>704224.75790144107</v>
      </c>
      <c r="T51" s="354"/>
      <c r="U51" s="385">
        <v>743299.56827814097</v>
      </c>
      <c r="V51" s="385">
        <v>790198.13409638009</v>
      </c>
    </row>
    <row r="53" spans="1:22">
      <c r="M53" s="386">
        <f>SUM(M35:M40)</f>
        <v>595080.95943500008</v>
      </c>
      <c r="N53" s="354"/>
      <c r="O53" s="386" t="e">
        <f>SUM(O35:O40)-O38</f>
        <v>#REF!</v>
      </c>
      <c r="P53" s="386">
        <f>SUM(P35:P40)-P38</f>
        <v>509633.34595499997</v>
      </c>
      <c r="Q53" s="354"/>
      <c r="R53" s="386" t="e">
        <f>SUM(R35:R40)-R38</f>
        <v>#DIV/0!</v>
      </c>
      <c r="S53" s="386" t="e">
        <f>SUM(S35:S40)-S38</f>
        <v>#DIV/0!</v>
      </c>
      <c r="T53" s="354"/>
      <c r="U53" s="386" t="e">
        <f>SUM(U35:U40)-U38</f>
        <v>#DIV/0!</v>
      </c>
      <c r="V53" s="386" t="e">
        <f>SUM(V35:V40)-V38</f>
        <v>#DIV/0!</v>
      </c>
    </row>
    <row r="54" spans="1:22">
      <c r="O54" s="387" t="e">
        <f>(O53-M53)/O53</f>
        <v>#REF!</v>
      </c>
      <c r="P54" s="387" t="e">
        <f>(P53-O53)/P53</f>
        <v>#REF!</v>
      </c>
      <c r="R54" s="387" t="e">
        <f>(R53-P53)/R53</f>
        <v>#DIV/0!</v>
      </c>
      <c r="S54" s="387" t="e">
        <f>(S53-R53)/S53</f>
        <v>#DIV/0!</v>
      </c>
      <c r="U54" s="387" t="e">
        <f>(U53-S53)/U53</f>
        <v>#DIV/0!</v>
      </c>
      <c r="V54" s="387" t="e">
        <f>(V53-U53)/V53</f>
        <v>#DIV/0!</v>
      </c>
    </row>
    <row r="55" spans="1:22">
      <c r="M55" s="386">
        <f>M38</f>
        <v>140774.69951999999</v>
      </c>
      <c r="N55" s="354"/>
      <c r="O55" s="386" t="e">
        <f>O38</f>
        <v>#REF!</v>
      </c>
      <c r="P55" s="386">
        <f>P38</f>
        <v>109937.34234582999</v>
      </c>
      <c r="Q55" s="354"/>
      <c r="R55" s="386" t="e">
        <f>R38</f>
        <v>#DIV/0!</v>
      </c>
      <c r="S55" s="386" t="e">
        <f>S38</f>
        <v>#DIV/0!</v>
      </c>
      <c r="T55" s="354"/>
      <c r="U55" s="386" t="e">
        <f>U38</f>
        <v>#DIV/0!</v>
      </c>
      <c r="V55" s="386" t="e">
        <f>V38</f>
        <v>#DIV/0!</v>
      </c>
    </row>
    <row r="56" spans="1:22">
      <c r="O56" s="387" t="e">
        <f>(O55-M55)/O55</f>
        <v>#REF!</v>
      </c>
      <c r="P56" s="387" t="e">
        <f>(P55-O55)/P55</f>
        <v>#REF!</v>
      </c>
      <c r="R56" s="387" t="e">
        <f>(R55-P55)/R55</f>
        <v>#DIV/0!</v>
      </c>
      <c r="S56" s="387" t="e">
        <f>(S55-R55)/S55</f>
        <v>#DIV/0!</v>
      </c>
      <c r="U56" s="387" t="e">
        <f>(U55-S55)/U55</f>
        <v>#DIV/0!</v>
      </c>
      <c r="V56" s="387" t="e">
        <f>(V55-U55)/V55</f>
        <v>#DIV/0!</v>
      </c>
    </row>
    <row r="57" spans="1:22">
      <c r="M57" s="386">
        <f>M51</f>
        <v>501701.49755582702</v>
      </c>
      <c r="N57" s="354"/>
      <c r="O57" s="386">
        <f>O51</f>
        <v>532434.6665720212</v>
      </c>
      <c r="P57" s="386">
        <f>P51</f>
        <v>608911.20919739455</v>
      </c>
      <c r="Q57" s="354"/>
      <c r="R57" s="386">
        <f>R51</f>
        <v>657746.81403980451</v>
      </c>
      <c r="S57" s="386">
        <f>S51</f>
        <v>704224.75790144107</v>
      </c>
      <c r="T57" s="354"/>
      <c r="U57" s="386">
        <f>U51</f>
        <v>743299.56827814097</v>
      </c>
      <c r="V57" s="386">
        <f>V51</f>
        <v>790198.13409638009</v>
      </c>
    </row>
    <row r="58" spans="1:22">
      <c r="O58" s="387">
        <f>(O57-M57)/O57</f>
        <v>5.7721953407098403E-2</v>
      </c>
      <c r="P58" s="387">
        <f>(P57-O57)/P57</f>
        <v>0.12559555723432489</v>
      </c>
      <c r="R58" s="387">
        <f>(R57-P57)/R57</f>
        <v>7.4246813211404777E-2</v>
      </c>
      <c r="S58" s="387">
        <f>(S57-R57)/S57</f>
        <v>6.59987359719343E-2</v>
      </c>
      <c r="U58" s="387">
        <f>(U57-S57)/U57</f>
        <v>5.2569397379332521E-2</v>
      </c>
      <c r="V58" s="387">
        <f>(V57-U57)/V57</f>
        <v>5.9350387952850976E-2</v>
      </c>
    </row>
    <row r="60" spans="1:22">
      <c r="M60" s="386">
        <f>M45</f>
        <v>154042.02331722312</v>
      </c>
      <c r="N60" s="354"/>
      <c r="O60" s="386" t="e">
        <f>O45</f>
        <v>#REF!</v>
      </c>
      <c r="P60" s="386">
        <f>P45</f>
        <v>144065.17548630573</v>
      </c>
      <c r="Q60" s="354"/>
      <c r="R60" s="386" t="e">
        <f>R45</f>
        <v>#DIV/0!</v>
      </c>
      <c r="S60" s="386" t="e">
        <f>S45</f>
        <v>#DIV/0!</v>
      </c>
      <c r="T60" s="354"/>
      <c r="U60" s="386" t="e">
        <f>U45</f>
        <v>#DIV/0!</v>
      </c>
      <c r="V60" s="386" t="e">
        <f>V45</f>
        <v>#DIV/0!</v>
      </c>
    </row>
    <row r="61" spans="1:22">
      <c r="K61" s="351"/>
      <c r="L61" s="388"/>
      <c r="O61" s="387" t="e">
        <f>(O60-M60)/O60</f>
        <v>#REF!</v>
      </c>
      <c r="P61" s="387" t="e">
        <f>(P60-O60)/P60</f>
        <v>#REF!</v>
      </c>
      <c r="R61" s="387" t="e">
        <f>(R60-P60)/R60</f>
        <v>#DIV/0!</v>
      </c>
      <c r="S61" s="387" t="e">
        <f>(S60-R60)/S60</f>
        <v>#DIV/0!</v>
      </c>
      <c r="U61" s="387" t="e">
        <f>(U60-S60)/U60</f>
        <v>#DIV/0!</v>
      </c>
      <c r="V61" s="387" t="e">
        <f>(V60-U60)/V60</f>
        <v>#DIV/0!</v>
      </c>
    </row>
    <row r="62" spans="1:22">
      <c r="K62" s="351"/>
      <c r="L62" s="388"/>
    </row>
    <row r="63" spans="1:22">
      <c r="K63" s="351"/>
      <c r="L63" s="388"/>
    </row>
    <row r="64" spans="1:22">
      <c r="L64" s="351"/>
    </row>
  </sheetData>
  <customSheetViews>
    <customSheetView guid="{2226E858-00AE-4A92-8CF6-5B54D2FA62D4}" showPageBreaks="1" printArea="1" hiddenRows="1" state="hidden">
      <pageMargins left="0.7" right="0.7" top="0.75" bottom="0.75" header="0.3" footer="0.3"/>
      <pageSetup scale="44" orientation="landscape" r:id="rId1"/>
    </customSheetView>
  </customSheetViews>
  <mergeCells count="12">
    <mergeCell ref="B41:C41"/>
    <mergeCell ref="K33:L33"/>
    <mergeCell ref="L2:M3"/>
    <mergeCell ref="O2:P3"/>
    <mergeCell ref="R2:S3"/>
    <mergeCell ref="A32:C32"/>
    <mergeCell ref="F33:G33"/>
    <mergeCell ref="U2:V3"/>
    <mergeCell ref="C2:D3"/>
    <mergeCell ref="F2:G3"/>
    <mergeCell ref="I2:J3"/>
    <mergeCell ref="A7:B7"/>
  </mergeCells>
  <pageMargins left="0.7" right="0.7" top="0.75" bottom="0.75" header="0.3" footer="0.3"/>
  <pageSetup scale="44" orientation="landscape" r:id="rId2"/>
  <ignoredErrors>
    <ignoredError sqref="C16" evalError="1"/>
    <ignoredError sqref="AC40:AG40" formulaRange="1"/>
  </ignoredError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6" tint="0.59999389629810485"/>
    <pageSetUpPr autoPageBreaks="0"/>
  </sheetPr>
  <dimension ref="A1:Z38"/>
  <sheetViews>
    <sheetView topLeftCell="M4" zoomScale="85" zoomScaleNormal="85" workbookViewId="0">
      <selection activeCell="V33" sqref="V33"/>
    </sheetView>
  </sheetViews>
  <sheetFormatPr defaultColWidth="9.140625" defaultRowHeight="14.25"/>
  <cols>
    <col min="1" max="1" width="44.28515625" style="269" bestFit="1" customWidth="1"/>
    <col min="2" max="3" width="10.5703125" style="269" customWidth="1"/>
    <col min="4" max="4" width="1.42578125" style="269" customWidth="1"/>
    <col min="5" max="6" width="10.5703125" style="269" customWidth="1"/>
    <col min="7" max="7" width="1.42578125" style="269" customWidth="1"/>
    <col min="8" max="9" width="10.5703125" style="269" customWidth="1"/>
    <col min="10" max="10" width="1.42578125" style="269" customWidth="1"/>
    <col min="11" max="12" width="10.5703125" style="269" customWidth="1"/>
    <col min="13" max="13" width="1.42578125" style="269" customWidth="1"/>
    <col min="14" max="15" width="10.5703125" style="269" customWidth="1"/>
    <col min="16" max="17" width="9.140625" style="269" customWidth="1"/>
    <col min="18" max="18" width="7.5703125" style="269" customWidth="1"/>
    <col min="19" max="19" width="53.85546875" style="269" bestFit="1" customWidth="1"/>
    <col min="20" max="20" width="19.7109375" style="269" bestFit="1" customWidth="1"/>
    <col min="21" max="25" width="17" style="269" customWidth="1"/>
    <col min="26" max="27" width="11.5703125" style="269" customWidth="1"/>
    <col min="28" max="16384" width="9.140625" style="269"/>
  </cols>
  <sheetData>
    <row r="1" spans="1:26" s="138" customFormat="1" ht="15">
      <c r="B1" s="288" t="s">
        <v>290</v>
      </c>
      <c r="C1" s="288" t="s">
        <v>291</v>
      </c>
      <c r="E1" s="288" t="s">
        <v>391</v>
      </c>
      <c r="F1" s="288" t="s">
        <v>293</v>
      </c>
      <c r="H1" s="288" t="s">
        <v>294</v>
      </c>
      <c r="I1" s="288" t="s">
        <v>295</v>
      </c>
      <c r="K1" s="288" t="s">
        <v>323</v>
      </c>
      <c r="L1" s="288" t="s">
        <v>324</v>
      </c>
      <c r="N1" s="288" t="s">
        <v>325</v>
      </c>
      <c r="O1" s="288" t="s">
        <v>326</v>
      </c>
    </row>
    <row r="2" spans="1:26" ht="37.5" customHeight="1">
      <c r="B2" s="417" t="s">
        <v>509</v>
      </c>
      <c r="C2" s="417"/>
      <c r="D2" s="289"/>
      <c r="E2" s="417" t="s">
        <v>508</v>
      </c>
      <c r="F2" s="417"/>
      <c r="G2" s="289"/>
      <c r="H2" s="417" t="s">
        <v>510</v>
      </c>
      <c r="I2" s="417"/>
      <c r="J2" s="289"/>
      <c r="K2" s="417" t="s">
        <v>511</v>
      </c>
      <c r="L2" s="417"/>
      <c r="M2" s="289"/>
      <c r="N2" s="417" t="s">
        <v>512</v>
      </c>
      <c r="O2" s="417"/>
      <c r="P2" s="289"/>
      <c r="T2" s="278" t="s">
        <v>505</v>
      </c>
      <c r="U2" s="278"/>
    </row>
    <row r="3" spans="1:26" ht="27.75" customHeight="1">
      <c r="A3" s="290" t="s">
        <v>296</v>
      </c>
      <c r="B3" s="291" t="s">
        <v>392</v>
      </c>
      <c r="C3" s="291" t="s">
        <v>393</v>
      </c>
      <c r="D3" s="292"/>
      <c r="E3" s="291" t="s">
        <v>392</v>
      </c>
      <c r="F3" s="291" t="s">
        <v>393</v>
      </c>
      <c r="G3" s="292"/>
      <c r="H3" s="291" t="s">
        <v>392</v>
      </c>
      <c r="I3" s="291" t="s">
        <v>393</v>
      </c>
      <c r="J3" s="292"/>
      <c r="K3" s="291" t="s">
        <v>392</v>
      </c>
      <c r="L3" s="291" t="s">
        <v>393</v>
      </c>
      <c r="M3" s="292"/>
      <c r="N3" s="291" t="s">
        <v>392</v>
      </c>
      <c r="O3" s="291" t="s">
        <v>393</v>
      </c>
      <c r="R3" s="416" t="s">
        <v>397</v>
      </c>
      <c r="S3" s="416"/>
      <c r="T3" s="287" t="s">
        <v>401</v>
      </c>
      <c r="U3" s="287" t="s">
        <v>398</v>
      </c>
      <c r="V3" s="287" t="s">
        <v>399</v>
      </c>
      <c r="W3" s="287" t="s">
        <v>400</v>
      </c>
      <c r="X3" s="287" t="s">
        <v>503</v>
      </c>
      <c r="Y3" s="287" t="s">
        <v>504</v>
      </c>
      <c r="Z3" s="287"/>
    </row>
    <row r="4" spans="1:26">
      <c r="A4" s="269" t="s">
        <v>394</v>
      </c>
      <c r="B4" s="279" t="e">
        <f>(U5-T5)/1000</f>
        <v>#REF!</v>
      </c>
      <c r="C4" s="271" t="e">
        <f>(B4/B$16)*C$16</f>
        <v>#REF!</v>
      </c>
      <c r="E4" s="279" t="e">
        <f>(V5-U5)/1000</f>
        <v>#REF!</v>
      </c>
      <c r="F4" s="271" t="e">
        <f>(E4/E$16)*F$16</f>
        <v>#REF!</v>
      </c>
      <c r="H4" s="279" t="e">
        <f>(W5-V5)/1000</f>
        <v>#DIV/0!</v>
      </c>
      <c r="I4" s="271" t="e">
        <f>(H4/H$16)*I$16</f>
        <v>#DIV/0!</v>
      </c>
      <c r="K4" s="279" t="e">
        <f>(X5-W5)/1000</f>
        <v>#DIV/0!</v>
      </c>
      <c r="L4" s="271" t="e">
        <f>(K4/K$16)*L$16</f>
        <v>#DIV/0!</v>
      </c>
      <c r="N4" s="279" t="e">
        <f>(Y5-X5)/1000</f>
        <v>#DIV/0!</v>
      </c>
      <c r="O4" s="271" t="e">
        <f>(N4/N$16)*O$16</f>
        <v>#DIV/0!</v>
      </c>
      <c r="R4" s="269" t="s">
        <v>76</v>
      </c>
    </row>
    <row r="5" spans="1:26">
      <c r="A5" s="269" t="s">
        <v>395</v>
      </c>
      <c r="B5" s="279" t="e">
        <f>(U7-T7)/1000</f>
        <v>#REF!</v>
      </c>
      <c r="C5" s="271" t="e">
        <f>(B5/B$16)*C$16</f>
        <v>#REF!</v>
      </c>
      <c r="E5" s="279" t="e">
        <f>(V7-U7)/1000</f>
        <v>#REF!</v>
      </c>
      <c r="F5" s="271" t="e">
        <f>(E5/E$16)*F$16</f>
        <v>#REF!</v>
      </c>
      <c r="H5" s="279" t="e">
        <f>(W7-V7)/1000</f>
        <v>#DIV/0!</v>
      </c>
      <c r="I5" s="271" t="e">
        <f>(H5/H$16)*I$16</f>
        <v>#DIV/0!</v>
      </c>
      <c r="K5" s="279" t="e">
        <f>(X7-W7)/1000</f>
        <v>#DIV/0!</v>
      </c>
      <c r="L5" s="271" t="e">
        <f>(K5/K$16)*L$16</f>
        <v>#DIV/0!</v>
      </c>
      <c r="N5" s="279" t="e">
        <f>(Y7-X7)/1000</f>
        <v>#DIV/0!</v>
      </c>
      <c r="O5" s="271" t="e">
        <f>(N5/N$16)*O$16</f>
        <v>#DIV/0!</v>
      </c>
      <c r="S5" s="269" t="s">
        <v>20</v>
      </c>
      <c r="T5" s="270">
        <v>167528.66249999998</v>
      </c>
      <c r="U5" s="270" t="e">
        <f>AVERAGE('Revenue Requirement'!#REF!)</f>
        <v>#REF!</v>
      </c>
      <c r="V5" s="270">
        <f>AVERAGE('Revenue Requirement'!F9:G9)</f>
        <v>170152.52676500002</v>
      </c>
      <c r="W5" s="270" t="e">
        <f>AVERAGE('Revenue Requirement'!H9:I9)</f>
        <v>#DIV/0!</v>
      </c>
      <c r="X5" s="270" t="e">
        <f>AVERAGE('Revenue Requirement'!J9:L9)</f>
        <v>#DIV/0!</v>
      </c>
      <c r="Y5" s="270" t="e">
        <f>AVERAGE('Revenue Requirement'!M9:N9)</f>
        <v>#DIV/0!</v>
      </c>
      <c r="Z5" s="293"/>
    </row>
    <row r="6" spans="1:26">
      <c r="A6" s="269" t="s">
        <v>396</v>
      </c>
      <c r="B6" s="279" t="e">
        <f>(U6-T6)/1000</f>
        <v>#REF!</v>
      </c>
      <c r="C6" s="271" t="e">
        <f>(B6/B$16)*C$16</f>
        <v>#REF!</v>
      </c>
      <c r="E6" s="279" t="e">
        <f>(V6-U6)/1000</f>
        <v>#REF!</v>
      </c>
      <c r="F6" s="271" t="e">
        <f>(E6/E$16)*F$16</f>
        <v>#REF!</v>
      </c>
      <c r="H6" s="279" t="e">
        <f>(W6-V6)/1000</f>
        <v>#DIV/0!</v>
      </c>
      <c r="I6" s="271" t="e">
        <f>(H6/H$16)*I$16</f>
        <v>#DIV/0!</v>
      </c>
      <c r="K6" s="279" t="e">
        <f>(X6-W6)/1000</f>
        <v>#DIV/0!</v>
      </c>
      <c r="L6" s="271" t="e">
        <f>(K6/K$16)*L$16</f>
        <v>#DIV/0!</v>
      </c>
      <c r="N6" s="279" t="e">
        <f>(Y6-X6)/1000</f>
        <v>#DIV/0!</v>
      </c>
      <c r="O6" s="271" t="e">
        <f>(N6/N$16)*O$16</f>
        <v>#DIV/0!</v>
      </c>
      <c r="S6" s="269" t="s">
        <v>21</v>
      </c>
      <c r="T6" s="270">
        <v>57034.075499999999</v>
      </c>
      <c r="U6" s="270" t="e">
        <f>AVERAGE('Revenue Requirement'!#REF!)</f>
        <v>#REF!</v>
      </c>
      <c r="V6" s="270">
        <f>AVERAGE('Revenue Requirement'!F10:G10)</f>
        <v>56832.042649999988</v>
      </c>
      <c r="W6" s="270" t="e">
        <f>AVERAGE('Revenue Requirement'!H10:I10)</f>
        <v>#DIV/0!</v>
      </c>
      <c r="X6" s="270" t="e">
        <f>AVERAGE('Revenue Requirement'!J10:L10)</f>
        <v>#DIV/0!</v>
      </c>
      <c r="Y6" s="270" t="e">
        <f>AVERAGE('Revenue Requirement'!M10:N10)</f>
        <v>#DIV/0!</v>
      </c>
      <c r="Z6" s="293"/>
    </row>
    <row r="7" spans="1:26">
      <c r="A7" s="269" t="s">
        <v>585</v>
      </c>
      <c r="B7" s="279" t="e">
        <f>(U24-T24)/1000</f>
        <v>#REF!</v>
      </c>
      <c r="C7" s="271" t="e">
        <f>(B7/B$16)*C$16</f>
        <v>#REF!</v>
      </c>
      <c r="E7" s="279" t="e">
        <f>(V24-U24)/1000</f>
        <v>#REF!</v>
      </c>
      <c r="F7" s="271" t="e">
        <f>(E7/E$16)*F$16</f>
        <v>#REF!</v>
      </c>
      <c r="H7" s="279" t="e">
        <f>(W24-V24)/1000</f>
        <v>#REF!</v>
      </c>
      <c r="I7" s="271" t="e">
        <f>(H7/H$16)*I$16</f>
        <v>#REF!</v>
      </c>
      <c r="K7" s="279" t="e">
        <f>(X24-W24)/1000</f>
        <v>#REF!</v>
      </c>
      <c r="L7" s="271" t="e">
        <f>(K7/K$16)*L$16</f>
        <v>#REF!</v>
      </c>
      <c r="N7" s="279" t="e">
        <f>(Y24-X24)/1000</f>
        <v>#REF!</v>
      </c>
      <c r="O7" s="271" t="e">
        <f>(N7/N$16)*O$16</f>
        <v>#REF!</v>
      </c>
      <c r="S7" s="269" t="s">
        <v>276</v>
      </c>
      <c r="T7" s="270">
        <v>177352.61849999998</v>
      </c>
      <c r="U7" s="270" t="e">
        <f>AVERAGE('Revenue Requirement'!#REF!)</f>
        <v>#REF!</v>
      </c>
      <c r="V7" s="270">
        <f>AVERAGE('Revenue Requirement'!F11:G11)</f>
        <v>178710.31063999998</v>
      </c>
      <c r="W7" s="270" t="e">
        <f>AVERAGE('Revenue Requirement'!H11:I11)</f>
        <v>#DIV/0!</v>
      </c>
      <c r="X7" s="270" t="e">
        <f>AVERAGE('Revenue Requirement'!J11:L11)</f>
        <v>#DIV/0!</v>
      </c>
      <c r="Y7" s="270" t="e">
        <f>AVERAGE('Revenue Requirement'!M11:N11)</f>
        <v>#DIV/0!</v>
      </c>
      <c r="Z7" s="293"/>
    </row>
    <row r="8" spans="1:26">
      <c r="A8" s="294" t="s">
        <v>433</v>
      </c>
      <c r="B8" s="295" t="e">
        <f>((SUM(U9:U10))-(SUM(T9:T10)))/1000</f>
        <v>#REF!</v>
      </c>
      <c r="C8" s="296" t="e">
        <f>(B8/B$16)*C$16</f>
        <v>#REF!</v>
      </c>
      <c r="D8" s="294"/>
      <c r="E8" s="295" t="e">
        <f>((SUM(V9:V10))-(SUM(U9:U10)))/1000</f>
        <v>#REF!</v>
      </c>
      <c r="F8" s="296" t="e">
        <f>(E8/E$16)*F$16</f>
        <v>#REF!</v>
      </c>
      <c r="G8" s="294"/>
      <c r="H8" s="295" t="e">
        <f>((SUM(W9:W10))-(SUM(V9:V10)))/1000</f>
        <v>#DIV/0!</v>
      </c>
      <c r="I8" s="296" t="e">
        <f>(H8/H$16)*I$16</f>
        <v>#DIV/0!</v>
      </c>
      <c r="J8" s="294"/>
      <c r="K8" s="295" t="e">
        <f>((SUM(X9:X10))-(SUM(W9:W10)))/1000</f>
        <v>#DIV/0!</v>
      </c>
      <c r="L8" s="296" t="e">
        <f>(K8/K$16)*L$16</f>
        <v>#DIV/0!</v>
      </c>
      <c r="M8" s="294"/>
      <c r="N8" s="295" t="e">
        <f>((SUM(Y9:Y10))-(SUM(X9:X10)))/1000</f>
        <v>#DIV/0!</v>
      </c>
      <c r="O8" s="296" t="e">
        <f>(N8/N$16)*O$16</f>
        <v>#DIV/0!</v>
      </c>
      <c r="S8" s="269" t="s">
        <v>77</v>
      </c>
      <c r="T8" s="270">
        <v>115721.525471</v>
      </c>
      <c r="U8" s="270" t="e">
        <f>AVERAGE('Revenue Requirement'!#REF!)</f>
        <v>#REF!</v>
      </c>
      <c r="V8" s="270">
        <f>AVERAGE('Revenue Requirement'!F12:G12)</f>
        <v>109937.34234582999</v>
      </c>
      <c r="W8" s="270" t="e">
        <f>AVERAGE('Revenue Requirement'!H12:I12)</f>
        <v>#DIV/0!</v>
      </c>
      <c r="X8" s="270" t="e">
        <f>AVERAGE('Revenue Requirement'!J12:L12)</f>
        <v>#DIV/0!</v>
      </c>
      <c r="Y8" s="270" t="e">
        <f>AVERAGE('Revenue Requirement'!M12:N12)</f>
        <v>#DIV/0!</v>
      </c>
      <c r="Z8" s="293"/>
    </row>
    <row r="9" spans="1:26" ht="15">
      <c r="A9" s="267" t="s">
        <v>434</v>
      </c>
      <c r="B9" s="280" t="e">
        <f>SUM(B4:B8)</f>
        <v>#REF!</v>
      </c>
      <c r="C9" s="281" t="e">
        <f>SUM(C4:C8)</f>
        <v>#REF!</v>
      </c>
      <c r="D9" s="137"/>
      <c r="E9" s="280" t="e">
        <f>SUM(E4:E8)</f>
        <v>#REF!</v>
      </c>
      <c r="F9" s="281" t="e">
        <f>SUM(F4:F8)</f>
        <v>#REF!</v>
      </c>
      <c r="G9" s="137"/>
      <c r="H9" s="280" t="e">
        <f>SUM(H4:H8)</f>
        <v>#DIV/0!</v>
      </c>
      <c r="I9" s="281" t="e">
        <f>SUM(I4:I8)</f>
        <v>#DIV/0!</v>
      </c>
      <c r="J9" s="137"/>
      <c r="K9" s="280" t="e">
        <f>SUM(K4:K8)</f>
        <v>#DIV/0!</v>
      </c>
      <c r="L9" s="281" t="e">
        <f>SUM(L4:L8)</f>
        <v>#DIV/0!</v>
      </c>
      <c r="M9" s="137"/>
      <c r="N9" s="280" t="e">
        <f>SUM(N4:N8)</f>
        <v>#DIV/0!</v>
      </c>
      <c r="O9" s="281" t="e">
        <f>SUM(O4:O8)</f>
        <v>#DIV/0!</v>
      </c>
      <c r="S9" s="269" t="s">
        <v>78</v>
      </c>
      <c r="T9" s="270">
        <v>94773.398499999996</v>
      </c>
      <c r="U9" s="270" t="e">
        <f>AVERAGE('Revenue Requirement'!#REF!)</f>
        <v>#REF!</v>
      </c>
      <c r="V9" s="270">
        <f>AVERAGE('Revenue Requirement'!F13:G13)</f>
        <v>103938.46589999998</v>
      </c>
      <c r="W9" s="270" t="e">
        <f>AVERAGE('Revenue Requirement'!H13:I13)</f>
        <v>#DIV/0!</v>
      </c>
      <c r="X9" s="270" t="e">
        <f>AVERAGE('Revenue Requirement'!J13:L13)</f>
        <v>#DIV/0!</v>
      </c>
      <c r="Y9" s="270" t="e">
        <f>AVERAGE('Revenue Requirement'!M13:N13)</f>
        <v>#DIV/0!</v>
      </c>
      <c r="Z9" s="293"/>
    </row>
    <row r="10" spans="1:26">
      <c r="B10" s="279"/>
      <c r="C10" s="271"/>
      <c r="E10" s="279"/>
      <c r="F10" s="271"/>
      <c r="H10" s="279"/>
      <c r="I10" s="271"/>
      <c r="K10" s="279"/>
      <c r="L10" s="271"/>
      <c r="N10" s="279"/>
      <c r="O10" s="271"/>
      <c r="S10" s="269" t="s">
        <v>79</v>
      </c>
      <c r="T10" s="270">
        <v>-8043.4560000000001</v>
      </c>
      <c r="U10" s="270" t="e">
        <f>AVERAGE('Revenue Requirement'!#REF!)</f>
        <v>#REF!</v>
      </c>
      <c r="V10" s="270">
        <f>AVERAGE('Revenue Requirement'!F14:G14)</f>
        <v>0</v>
      </c>
      <c r="W10" s="270" t="e">
        <f>AVERAGE('Revenue Requirement'!H14:I14)</f>
        <v>#DIV/0!</v>
      </c>
      <c r="X10" s="270" t="e">
        <f>AVERAGE('Revenue Requirement'!J14:L14)</f>
        <v>#DIV/0!</v>
      </c>
      <c r="Y10" s="270" t="e">
        <f>AVERAGE('Revenue Requirement'!M14:N14)</f>
        <v>#DIV/0!</v>
      </c>
      <c r="Z10" s="293"/>
    </row>
    <row r="11" spans="1:26">
      <c r="A11" s="294" t="s">
        <v>586</v>
      </c>
      <c r="B11" s="295" t="e">
        <f>(U23-T23)/1000</f>
        <v>#REF!</v>
      </c>
      <c r="C11" s="296" t="e">
        <f>(B11/B$16)*C$16</f>
        <v>#REF!</v>
      </c>
      <c r="D11" s="294"/>
      <c r="E11" s="295" t="e">
        <f>(V23-U23)/1000</f>
        <v>#REF!</v>
      </c>
      <c r="F11" s="296" t="e">
        <f>(E11/E$16)*F$16</f>
        <v>#REF!</v>
      </c>
      <c r="G11" s="294"/>
      <c r="H11" s="295" t="e">
        <f>(W23-V23)/1000</f>
        <v>#REF!</v>
      </c>
      <c r="I11" s="296" t="e">
        <f>(H11/H$16)*I$16</f>
        <v>#REF!</v>
      </c>
      <c r="J11" s="294"/>
      <c r="K11" s="295" t="e">
        <f>(X23-W23)/1000</f>
        <v>#REF!</v>
      </c>
      <c r="L11" s="296" t="e">
        <f>(K11/K$16)*L$16</f>
        <v>#REF!</v>
      </c>
      <c r="M11" s="294"/>
      <c r="N11" s="295" t="e">
        <f>(Y23-X23)/1000</f>
        <v>#REF!</v>
      </c>
      <c r="O11" s="296" t="e">
        <f>(N11/N$16)*O$16</f>
        <v>#REF!</v>
      </c>
      <c r="T11" s="270"/>
      <c r="U11" s="270"/>
      <c r="V11" s="270"/>
      <c r="W11" s="270"/>
      <c r="X11" s="270"/>
      <c r="Y11" s="270"/>
      <c r="Z11" s="293"/>
    </row>
    <row r="12" spans="1:26" ht="15">
      <c r="A12" s="267" t="s">
        <v>435</v>
      </c>
      <c r="B12" s="280" t="e">
        <f>SUM(B11:B11)</f>
        <v>#REF!</v>
      </c>
      <c r="C12" s="281" t="e">
        <f>SUM(C11)</f>
        <v>#REF!</v>
      </c>
      <c r="D12" s="137"/>
      <c r="E12" s="280" t="e">
        <f>SUM(E11:E11)</f>
        <v>#REF!</v>
      </c>
      <c r="F12" s="281" t="e">
        <f>SUM(F11)</f>
        <v>#REF!</v>
      </c>
      <c r="G12" s="137"/>
      <c r="H12" s="280" t="e">
        <f>SUM(H11:H11)</f>
        <v>#REF!</v>
      </c>
      <c r="I12" s="281" t="e">
        <f>SUM(I11)</f>
        <v>#REF!</v>
      </c>
      <c r="J12" s="137"/>
      <c r="K12" s="280" t="e">
        <f>SUM(K11:K11)</f>
        <v>#REF!</v>
      </c>
      <c r="L12" s="281" t="e">
        <f>SUM(L11)</f>
        <v>#REF!</v>
      </c>
      <c r="M12" s="137"/>
      <c r="N12" s="280" t="e">
        <f>SUM(N11:N11)</f>
        <v>#REF!</v>
      </c>
      <c r="O12" s="281" t="e">
        <f>SUM(O11)</f>
        <v>#REF!</v>
      </c>
      <c r="S12" s="269" t="s">
        <v>80</v>
      </c>
      <c r="T12" s="270">
        <v>278792.94196548354</v>
      </c>
      <c r="U12" s="270" t="e">
        <f>AVERAGE('Revenue Requirement'!#REF!)</f>
        <v>#REF!</v>
      </c>
      <c r="V12" s="270">
        <f>AVERAGE('Revenue Requirement'!F15:G15)</f>
        <v>347647.09201601479</v>
      </c>
      <c r="W12" s="270" t="e">
        <f>AVERAGE('Revenue Requirement'!H15:I15)</f>
        <v>#DIV/0!</v>
      </c>
      <c r="X12" s="270" t="e">
        <f>AVERAGE('Revenue Requirement'!J15:L15)</f>
        <v>#DIV/0!</v>
      </c>
      <c r="Y12" s="270" t="e">
        <f>AVERAGE('Revenue Requirement'!M15:N15)</f>
        <v>#DIV/0!</v>
      </c>
      <c r="Z12" s="293"/>
    </row>
    <row r="13" spans="1:26" ht="15">
      <c r="A13" s="137"/>
      <c r="B13" s="280"/>
      <c r="C13" s="281"/>
      <c r="D13" s="137"/>
      <c r="E13" s="280"/>
      <c r="F13" s="281"/>
      <c r="G13" s="137"/>
      <c r="H13" s="280"/>
      <c r="I13" s="281"/>
      <c r="J13" s="137"/>
      <c r="K13" s="280"/>
      <c r="L13" s="281"/>
      <c r="M13" s="137"/>
      <c r="N13" s="280"/>
      <c r="O13" s="281"/>
      <c r="R13" s="269" t="s">
        <v>81</v>
      </c>
      <c r="T13" s="270">
        <v>883159.76643648348</v>
      </c>
      <c r="U13" s="270" t="e">
        <f>AVERAGE('Revenue Requirement'!#REF!)</f>
        <v>#REF!</v>
      </c>
      <c r="V13" s="270">
        <f>AVERAGE('Revenue Requirement'!F16:G16)</f>
        <v>967217.78031684482</v>
      </c>
      <c r="W13" s="270" t="e">
        <f>AVERAGE('Revenue Requirement'!H16:I16)</f>
        <v>#DIV/0!</v>
      </c>
      <c r="X13" s="270" t="e">
        <f>AVERAGE('Revenue Requirement'!J16:L16)</f>
        <v>#DIV/0!</v>
      </c>
      <c r="Y13" s="270" t="e">
        <f>AVERAGE('Revenue Requirement'!M16:N16)</f>
        <v>#DIV/0!</v>
      </c>
      <c r="Z13" s="293"/>
    </row>
    <row r="14" spans="1:26" ht="17.25">
      <c r="A14" s="267" t="s">
        <v>587</v>
      </c>
      <c r="B14" s="280" t="e">
        <f>(U21-T21)/1000</f>
        <v>#REF!</v>
      </c>
      <c r="C14" s="281" t="e">
        <f>(B14/B$16)*C$16</f>
        <v>#REF!</v>
      </c>
      <c r="D14" s="137"/>
      <c r="E14" s="280" t="e">
        <f>(V21-U21)/1000</f>
        <v>#REF!</v>
      </c>
      <c r="F14" s="281" t="e">
        <f>(E14/E$16)*F$16</f>
        <v>#REF!</v>
      </c>
      <c r="G14" s="137"/>
      <c r="H14" s="280" t="e">
        <f>(W21-V21)/1000</f>
        <v>#DIV/0!</v>
      </c>
      <c r="I14" s="281" t="e">
        <f>(H14/H$16)*I$16</f>
        <v>#DIV/0!</v>
      </c>
      <c r="J14" s="137"/>
      <c r="K14" s="280" t="e">
        <f>(X21-W21)/1000</f>
        <v>#DIV/0!</v>
      </c>
      <c r="L14" s="281" t="e">
        <f>(K14/K$16)*L$16</f>
        <v>#DIV/0!</v>
      </c>
      <c r="M14" s="137"/>
      <c r="N14" s="280" t="e">
        <f>(Y21-X21)/1000</f>
        <v>#DIV/0!</v>
      </c>
      <c r="O14" s="281" t="e">
        <f>(N14/N$16)*O$16</f>
        <v>#DIV/0!</v>
      </c>
      <c r="T14" s="270"/>
      <c r="U14" s="270"/>
      <c r="V14" s="270"/>
      <c r="W14" s="270"/>
      <c r="X14" s="270"/>
      <c r="Y14" s="270"/>
      <c r="Z14" s="293"/>
    </row>
    <row r="15" spans="1:26" ht="15.75" customHeight="1">
      <c r="B15" s="279"/>
      <c r="C15" s="271"/>
      <c r="E15" s="279"/>
      <c r="F15" s="271"/>
      <c r="H15" s="279"/>
      <c r="I15" s="271"/>
      <c r="K15" s="279"/>
      <c r="L15" s="271"/>
      <c r="N15" s="279"/>
      <c r="O15" s="271"/>
      <c r="R15" s="269" t="s">
        <v>90</v>
      </c>
      <c r="T15" s="270">
        <v>156196.29733591771</v>
      </c>
      <c r="U15" s="270" t="e">
        <f>AVERAGE('Revenue Requirement'!#REF!)</f>
        <v>#REF!</v>
      </c>
      <c r="V15" s="270">
        <f>AVERAGE('Revenue Requirement'!F30:G30)</f>
        <v>144065.17548630573</v>
      </c>
      <c r="W15" s="270" t="e">
        <f>AVERAGE('Revenue Requirement'!H30:I30)</f>
        <v>#DIV/0!</v>
      </c>
      <c r="X15" s="270" t="e">
        <f>AVERAGE('Revenue Requirement'!J30:L30)</f>
        <v>#DIV/0!</v>
      </c>
      <c r="Y15" s="270" t="e">
        <f>AVERAGE('Revenue Requirement'!M30:N30)</f>
        <v>#DIV/0!</v>
      </c>
      <c r="Z15" s="293"/>
    </row>
    <row r="16" spans="1:26" ht="17.25">
      <c r="A16" s="297" t="s">
        <v>588</v>
      </c>
      <c r="B16" s="280" t="e">
        <f>SUM(B14,B12,B9)</f>
        <v>#REF!</v>
      </c>
      <c r="C16" s="281" t="e">
        <f>(B16/B$20)*C$20</f>
        <v>#REF!</v>
      </c>
      <c r="D16" s="137"/>
      <c r="E16" s="280" t="e">
        <f>SUM(E9,E12,E14)</f>
        <v>#REF!</v>
      </c>
      <c r="F16" s="281" t="e">
        <f>(E16/E$20)*F$20</f>
        <v>#REF!</v>
      </c>
      <c r="G16" s="137"/>
      <c r="H16" s="280" t="e">
        <f>SUM(H9,H12,H14)</f>
        <v>#DIV/0!</v>
      </c>
      <c r="I16" s="281" t="e">
        <f>(H16/H$20)*I$20</f>
        <v>#DIV/0!</v>
      </c>
      <c r="J16" s="137"/>
      <c r="K16" s="280" t="e">
        <f>SUM(K9,K12,K14)</f>
        <v>#DIV/0!</v>
      </c>
      <c r="L16" s="281" t="e">
        <f>(K16/K$20)*L$20</f>
        <v>#DIV/0!</v>
      </c>
      <c r="M16" s="137"/>
      <c r="N16" s="280" t="e">
        <f>SUM(N9,N12,N14)</f>
        <v>#DIV/0!</v>
      </c>
      <c r="O16" s="281" t="e">
        <f>(N16/N$20)*O$20</f>
        <v>#DIV/0!</v>
      </c>
      <c r="T16" s="270"/>
      <c r="U16" s="270"/>
      <c r="V16" s="270"/>
      <c r="W16" s="270"/>
      <c r="X16" s="270"/>
      <c r="Y16" s="270"/>
      <c r="Z16" s="293"/>
    </row>
    <row r="17" spans="1:26">
      <c r="A17" s="282"/>
      <c r="B17" s="283"/>
      <c r="C17" s="282"/>
      <c r="E17" s="284"/>
      <c r="H17" s="284"/>
      <c r="K17" s="279"/>
      <c r="N17" s="284"/>
      <c r="R17" s="269" t="s">
        <v>92</v>
      </c>
      <c r="T17" s="270">
        <v>4486.9294903865375</v>
      </c>
      <c r="U17" s="270" t="e">
        <f>AVERAGE('Revenue Requirement'!#REF!)</f>
        <v>#REF!</v>
      </c>
      <c r="V17" s="270">
        <f>AVERAGE('Revenue Requirement'!F36:G36)</f>
        <v>40017.56137871134</v>
      </c>
      <c r="W17" s="270" t="e">
        <f>AVERAGE('Revenue Requirement'!H36:I36)</f>
        <v>#DIV/0!</v>
      </c>
      <c r="X17" s="270" t="e">
        <f>AVERAGE('Revenue Requirement'!J36:L36)</f>
        <v>#DIV/0!</v>
      </c>
      <c r="Y17" s="270" t="e">
        <f>AVERAGE('Revenue Requirement'!M36:N36)</f>
        <v>#DIV/0!</v>
      </c>
      <c r="Z17" s="293"/>
    </row>
    <row r="18" spans="1:26" ht="15">
      <c r="A18" s="297" t="s">
        <v>436</v>
      </c>
      <c r="B18" s="280">
        <f>U28</f>
        <v>0</v>
      </c>
      <c r="C18" s="281" t="e">
        <f>(-B18/B$20)*C$20</f>
        <v>#REF!</v>
      </c>
      <c r="D18" s="137"/>
      <c r="E18" s="280">
        <f>U29</f>
        <v>0</v>
      </c>
      <c r="F18" s="281" t="e">
        <f>(-E18/E$20)*F$20</f>
        <v>#REF!</v>
      </c>
      <c r="G18" s="137"/>
      <c r="H18" s="280">
        <f>U30</f>
        <v>0</v>
      </c>
      <c r="I18" s="281" t="e">
        <f>(-H18/H$20)*I$20</f>
        <v>#DIV/0!</v>
      </c>
      <c r="J18" s="137"/>
      <c r="K18" s="280">
        <f>U31</f>
        <v>0</v>
      </c>
      <c r="L18" s="281" t="e">
        <f>(-K18/K$20)*L$20</f>
        <v>#DIV/0!</v>
      </c>
      <c r="M18" s="137"/>
      <c r="N18" s="280">
        <f>U32</f>
        <v>0</v>
      </c>
      <c r="O18" s="281" t="e">
        <f>(-N18/N$20)*O$20</f>
        <v>#DIV/0!</v>
      </c>
      <c r="T18" s="270"/>
      <c r="U18" s="270"/>
      <c r="V18" s="270"/>
      <c r="W18" s="270"/>
      <c r="X18" s="270"/>
      <c r="Y18" s="270"/>
      <c r="Z18" s="293"/>
    </row>
    <row r="19" spans="1:26">
      <c r="A19" s="282"/>
      <c r="B19" s="283"/>
      <c r="C19" s="282"/>
      <c r="E19" s="284"/>
      <c r="H19" s="284"/>
      <c r="K19" s="279"/>
      <c r="N19" s="284"/>
      <c r="Q19" s="293"/>
      <c r="R19" s="269" t="s">
        <v>95</v>
      </c>
      <c r="T19" s="270">
        <v>1043842.9932627878</v>
      </c>
      <c r="U19" s="270" t="e">
        <f>AVERAGE('Revenue Requirement'!#REF!)</f>
        <v>#REF!</v>
      </c>
      <c r="V19" s="270">
        <f>AVERAGE('Revenue Requirement'!F38:G38)</f>
        <v>1151300.5171818619</v>
      </c>
      <c r="W19" s="270" t="e">
        <f>AVERAGE('Revenue Requirement'!H38:I38)</f>
        <v>#DIV/0!</v>
      </c>
      <c r="X19" s="270" t="e">
        <f>AVERAGE('Revenue Requirement'!J38:L38)</f>
        <v>#DIV/0!</v>
      </c>
      <c r="Y19" s="270" t="e">
        <f>AVERAGE('Revenue Requirement'!M38:N38)</f>
        <v>#DIV/0!</v>
      </c>
      <c r="Z19" s="293"/>
    </row>
    <row r="20" spans="1:26" ht="15">
      <c r="A20" s="297" t="s">
        <v>449</v>
      </c>
      <c r="B20" s="280" t="e">
        <f>B16-B18</f>
        <v>#REF!</v>
      </c>
      <c r="C20" s="281">
        <f>T28</f>
        <v>0</v>
      </c>
      <c r="D20" s="137"/>
      <c r="E20" s="280" t="e">
        <f>E16-E18</f>
        <v>#REF!</v>
      </c>
      <c r="F20" s="281">
        <f>T29</f>
        <v>0</v>
      </c>
      <c r="G20" s="137"/>
      <c r="H20" s="280" t="e">
        <f>H16-H18</f>
        <v>#DIV/0!</v>
      </c>
      <c r="I20" s="281">
        <f>T30</f>
        <v>0</v>
      </c>
      <c r="J20" s="137"/>
      <c r="K20" s="280" t="e">
        <f>K16-K18</f>
        <v>#DIV/0!</v>
      </c>
      <c r="L20" s="281">
        <f>T31</f>
        <v>0</v>
      </c>
      <c r="M20" s="137"/>
      <c r="N20" s="280" t="e">
        <f>N16-N18</f>
        <v>#DIV/0!</v>
      </c>
      <c r="O20" s="281">
        <f>T32</f>
        <v>0</v>
      </c>
      <c r="T20" s="270"/>
      <c r="U20" s="270"/>
      <c r="V20" s="270"/>
      <c r="W20" s="270"/>
      <c r="X20" s="270"/>
      <c r="Y20" s="270"/>
      <c r="Z20" s="293"/>
    </row>
    <row r="21" spans="1:26">
      <c r="A21" s="285"/>
      <c r="B21" s="285"/>
      <c r="C21" s="285"/>
      <c r="K21" s="270"/>
      <c r="R21" s="269" t="s">
        <v>280</v>
      </c>
      <c r="T21" s="270">
        <v>439476.16879178776</v>
      </c>
      <c r="U21" s="270" t="e">
        <f>AVERAGE('Revenue Requirement'!#REF!)</f>
        <v>#REF!</v>
      </c>
      <c r="V21" s="270">
        <f>AVERAGE('Revenue Requirement'!F77:G77)</f>
        <v>531729.82888103183</v>
      </c>
      <c r="W21" s="270" t="e">
        <f>AVERAGE('Revenue Requirement'!H77:I77)</f>
        <v>#DIV/0!</v>
      </c>
      <c r="X21" s="270" t="e">
        <f>AVERAGE('Revenue Requirement'!J77:L77)</f>
        <v>#DIV/0!</v>
      </c>
      <c r="Y21" s="270" t="e">
        <f>AVERAGE('Revenue Requirement'!M77:N77)</f>
        <v>#DIV/0!</v>
      </c>
      <c r="Z21" s="293"/>
    </row>
    <row r="22" spans="1:26">
      <c r="A22" s="415" t="s">
        <v>440</v>
      </c>
      <c r="B22" s="415"/>
      <c r="C22" s="415"/>
      <c r="D22" s="415"/>
      <c r="E22" s="415"/>
      <c r="F22" s="415"/>
      <c r="G22" s="415"/>
      <c r="H22" s="415"/>
      <c r="T22" s="270"/>
      <c r="U22" s="270"/>
      <c r="V22" s="270"/>
      <c r="W22" s="270"/>
      <c r="X22" s="270"/>
      <c r="Y22" s="270"/>
      <c r="Z22" s="293"/>
    </row>
    <row r="23" spans="1:26" ht="15" customHeight="1">
      <c r="A23" s="415" t="s">
        <v>412</v>
      </c>
      <c r="B23" s="415"/>
      <c r="C23" s="285"/>
      <c r="E23" s="286"/>
      <c r="R23" s="269" t="s">
        <v>437</v>
      </c>
      <c r="T23" s="270">
        <v>104974.45147100001</v>
      </c>
      <c r="U23" s="270" t="e">
        <f>AVERAGE('Expense Input File'!#REF!)</f>
        <v>#REF!</v>
      </c>
      <c r="V23" s="270">
        <f>AVERAGE('Expense Input File'!F79:G79)</f>
        <v>104245.25732083</v>
      </c>
      <c r="W23" s="270" t="e">
        <f>AVERAGE('Expense Input File'!#REF!)</f>
        <v>#REF!</v>
      </c>
      <c r="X23" s="270" t="e">
        <f>AVERAGE('Expense Input File'!#REF!)</f>
        <v>#REF!</v>
      </c>
      <c r="Y23" s="270" t="e">
        <f>AVERAGE('Expense Input File'!#REF!)</f>
        <v>#REF!</v>
      </c>
      <c r="Z23" s="293"/>
    </row>
    <row r="24" spans="1:26">
      <c r="A24" s="415"/>
      <c r="B24" s="415"/>
      <c r="C24" s="415"/>
      <c r="R24" s="269" t="s">
        <v>438</v>
      </c>
      <c r="T24" s="270">
        <v>10747.074000000001</v>
      </c>
      <c r="U24" s="270" t="e">
        <f>AVERAGE('Expense Input File'!#REF!)</f>
        <v>#REF!</v>
      </c>
      <c r="V24" s="270">
        <f>AVERAGE('Expense Input File'!F78:G78)</f>
        <v>4679.5850250000003</v>
      </c>
      <c r="W24" s="270" t="e">
        <f>AVERAGE('Expense Input File'!#REF!)</f>
        <v>#REF!</v>
      </c>
      <c r="X24" s="270" t="e">
        <f>AVERAGE('Expense Input File'!#REF!)</f>
        <v>#REF!</v>
      </c>
      <c r="Y24" s="270" t="e">
        <f>AVERAGE('Expense Input File'!#REF!)</f>
        <v>#REF!</v>
      </c>
      <c r="Z24" s="293"/>
    </row>
    <row r="25" spans="1:26">
      <c r="R25" s="298" t="s">
        <v>439</v>
      </c>
      <c r="S25" s="298"/>
      <c r="T25" s="299" t="b">
        <f t="shared" ref="T25:Y25" si="0">(SUM(T23:T24))=T8</f>
        <v>1</v>
      </c>
      <c r="U25" s="299" t="e">
        <f t="shared" si="0"/>
        <v>#REF!</v>
      </c>
      <c r="V25" s="299" t="b">
        <f t="shared" si="0"/>
        <v>0</v>
      </c>
      <c r="W25" s="299" t="e">
        <f t="shared" si="0"/>
        <v>#REF!</v>
      </c>
      <c r="X25" s="299" t="e">
        <f t="shared" si="0"/>
        <v>#REF!</v>
      </c>
      <c r="Y25" s="299" t="e">
        <f t="shared" si="0"/>
        <v>#REF!</v>
      </c>
    </row>
    <row r="26" spans="1:26" ht="15" customHeight="1" thickBot="1">
      <c r="T26" s="287"/>
      <c r="U26" s="287"/>
      <c r="V26" s="287"/>
      <c r="W26" s="287"/>
      <c r="X26" s="287"/>
      <c r="Y26" s="287"/>
    </row>
    <row r="27" spans="1:26" ht="15" customHeight="1">
      <c r="S27" s="137" t="s">
        <v>402</v>
      </c>
      <c r="T27" s="300" t="s">
        <v>427</v>
      </c>
      <c r="U27" s="300" t="s">
        <v>428</v>
      </c>
    </row>
    <row r="28" spans="1:26" ht="15" customHeight="1">
      <c r="S28" s="301" t="s">
        <v>448</v>
      </c>
      <c r="T28" s="302"/>
      <c r="U28" s="303"/>
    </row>
    <row r="29" spans="1:26" ht="15" customHeight="1">
      <c r="S29" s="301" t="s">
        <v>403</v>
      </c>
      <c r="T29" s="302"/>
      <c r="U29" s="303"/>
    </row>
    <row r="30" spans="1:26">
      <c r="S30" s="301" t="s">
        <v>404</v>
      </c>
      <c r="T30" s="302"/>
      <c r="U30" s="303"/>
    </row>
    <row r="31" spans="1:26">
      <c r="S31" s="301" t="s">
        <v>506</v>
      </c>
      <c r="T31" s="302"/>
      <c r="U31" s="303"/>
    </row>
    <row r="32" spans="1:26" ht="15" thickBot="1">
      <c r="S32" s="301" t="s">
        <v>507</v>
      </c>
      <c r="T32" s="304"/>
      <c r="U32" s="305"/>
    </row>
    <row r="34" spans="9:20" ht="15">
      <c r="S34" s="306" t="s">
        <v>406</v>
      </c>
    </row>
    <row r="35" spans="9:20" ht="15">
      <c r="I35" s="270"/>
      <c r="J35" s="270"/>
      <c r="K35" s="270"/>
      <c r="L35" s="270"/>
      <c r="M35" s="270"/>
      <c r="N35" s="270"/>
      <c r="O35" s="270"/>
      <c r="S35" s="306" t="s">
        <v>405</v>
      </c>
      <c r="T35" s="307"/>
    </row>
    <row r="38" spans="9:20">
      <c r="I38" s="270"/>
      <c r="J38" s="270"/>
      <c r="K38" s="270"/>
      <c r="L38" s="270"/>
      <c r="M38" s="270"/>
      <c r="N38" s="270"/>
      <c r="O38" s="270"/>
    </row>
  </sheetData>
  <customSheetViews>
    <customSheetView guid="{2226E858-00AE-4A92-8CF6-5B54D2FA62D4}" scale="85" showPageBreaks="1" showGridLines="0">
      <selection activeCell="A33" sqref="A33"/>
      <pageMargins left="0.7" right="0.7" top="0.75" bottom="0.75" header="0.3" footer="0.3"/>
      <pageSetup orientation="portrait" r:id="rId1"/>
    </customSheetView>
  </customSheetViews>
  <mergeCells count="9">
    <mergeCell ref="A24:C24"/>
    <mergeCell ref="R3:S3"/>
    <mergeCell ref="E2:F2"/>
    <mergeCell ref="H2:I2"/>
    <mergeCell ref="K2:L2"/>
    <mergeCell ref="N2:O2"/>
    <mergeCell ref="A23:B23"/>
    <mergeCell ref="B2:C2"/>
    <mergeCell ref="A22:H22"/>
  </mergeCell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AE147"/>
  <sheetViews>
    <sheetView zoomScale="85" zoomScaleNormal="85" workbookViewId="0">
      <pane xSplit="5" ySplit="6" topLeftCell="F7" activePane="bottomRight" state="frozen"/>
      <selection sqref="A1:XFD1048576"/>
      <selection pane="topRight" sqref="A1:XFD1048576"/>
      <selection pane="bottomLeft" sqref="A1:XFD1048576"/>
      <selection pane="bottomRight" activeCell="K14" sqref="K14"/>
    </sheetView>
  </sheetViews>
  <sheetFormatPr defaultColWidth="9.140625" defaultRowHeight="14.25"/>
  <cols>
    <col min="1" max="1" width="20.5703125" style="445" customWidth="1"/>
    <col min="2" max="2" width="48.42578125" style="445" customWidth="1"/>
    <col min="3" max="3" width="1.42578125" style="445" hidden="1" customWidth="1"/>
    <col min="4" max="4" width="0.140625" style="445" customWidth="1"/>
    <col min="5" max="5" width="0.7109375" style="445" customWidth="1"/>
    <col min="6" max="6" width="14.7109375" style="445" customWidth="1"/>
    <col min="7" max="7" width="31.42578125" style="445" bestFit="1" customWidth="1"/>
    <col min="8" max="8" width="30" style="445" bestFit="1" customWidth="1"/>
    <col min="9" max="9" width="24.7109375" style="445" bestFit="1" customWidth="1"/>
    <col min="10" max="10" width="18.5703125" style="445" bestFit="1" customWidth="1"/>
    <col min="11" max="11" width="15.42578125" style="445" bestFit="1" customWidth="1"/>
    <col min="12" max="12" width="14.5703125" style="445" customWidth="1"/>
    <col min="13" max="13" width="19.85546875" style="445" customWidth="1"/>
    <col min="14" max="20" width="14.5703125" style="445" customWidth="1"/>
    <col min="21" max="21" width="15.28515625" style="445" bestFit="1" customWidth="1"/>
    <col min="22" max="26" width="14.5703125" style="445" customWidth="1"/>
    <col min="27" max="28" width="16.85546875" style="445" bestFit="1" customWidth="1"/>
    <col min="29" max="29" width="14.5703125" style="445" customWidth="1"/>
    <col min="30" max="30" width="16" style="445" bestFit="1" customWidth="1"/>
    <col min="31" max="32" width="16.85546875" style="445" bestFit="1" customWidth="1"/>
    <col min="33" max="33" width="16.5703125" style="445" bestFit="1" customWidth="1"/>
    <col min="34" max="16384" width="9.140625" style="445"/>
  </cols>
  <sheetData>
    <row r="1" spans="1:31" ht="18">
      <c r="A1" s="626" t="s">
        <v>452</v>
      </c>
      <c r="B1" s="626"/>
      <c r="C1" s="626"/>
      <c r="D1" s="626"/>
      <c r="E1" s="626"/>
      <c r="F1" s="626"/>
      <c r="G1" s="626"/>
      <c r="H1" s="626"/>
      <c r="I1" s="626"/>
      <c r="J1" s="626"/>
      <c r="K1" s="626"/>
      <c r="L1" s="626"/>
      <c r="M1" s="626"/>
    </row>
    <row r="2" spans="1:31">
      <c r="A2" s="458" t="s">
        <v>9</v>
      </c>
      <c r="B2" s="597" t="s">
        <v>656</v>
      </c>
      <c r="E2" s="524"/>
      <c r="F2" s="449"/>
      <c r="G2" s="454"/>
      <c r="H2" s="479"/>
      <c r="I2" s="479"/>
    </row>
    <row r="3" spans="1:31" ht="15" customHeight="1">
      <c r="A3" s="458" t="s">
        <v>13</v>
      </c>
      <c r="B3" s="449">
        <v>2022</v>
      </c>
      <c r="E3" s="457"/>
      <c r="F3" s="475"/>
      <c r="G3" s="475"/>
      <c r="H3" s="475"/>
      <c r="I3" s="475"/>
      <c r="J3" s="475"/>
      <c r="K3" s="475"/>
      <c r="L3" s="475"/>
      <c r="M3" s="475"/>
    </row>
    <row r="4" spans="1:31">
      <c r="A4" s="458" t="s">
        <v>14</v>
      </c>
      <c r="B4" s="449">
        <v>2044</v>
      </c>
      <c r="D4" s="457"/>
      <c r="E4" s="457"/>
      <c r="F4" s="475"/>
      <c r="G4" s="475"/>
      <c r="H4" s="475"/>
      <c r="I4" s="475"/>
      <c r="J4" s="475"/>
      <c r="K4" s="475"/>
      <c r="L4" s="475"/>
      <c r="M4" s="475"/>
    </row>
    <row r="5" spans="1:31" ht="21.75" customHeight="1">
      <c r="A5" s="458"/>
      <c r="B5" s="458"/>
      <c r="C5" s="458"/>
      <c r="D5" s="458"/>
      <c r="E5" s="458"/>
      <c r="F5" s="541" t="s">
        <v>535</v>
      </c>
      <c r="G5" s="541"/>
      <c r="H5" s="541"/>
      <c r="I5" s="541"/>
      <c r="J5" s="541"/>
      <c r="K5" s="541"/>
      <c r="L5" s="541"/>
      <c r="M5" s="541"/>
      <c r="N5" s="541"/>
      <c r="O5" s="541"/>
      <c r="P5" s="541"/>
      <c r="Q5" s="541"/>
      <c r="R5" s="541"/>
      <c r="S5" s="541"/>
      <c r="T5" s="541"/>
      <c r="U5" s="541"/>
      <c r="V5" s="541"/>
      <c r="W5" s="541"/>
      <c r="X5" s="541"/>
      <c r="Y5" s="541"/>
      <c r="Z5" s="541"/>
      <c r="AA5" s="541"/>
      <c r="AB5" s="541"/>
    </row>
    <row r="6" spans="1:31" ht="15.75" customHeight="1">
      <c r="A6" s="598" t="s">
        <v>98</v>
      </c>
      <c r="B6" s="598"/>
      <c r="C6" s="598"/>
      <c r="D6" s="503"/>
      <c r="E6" s="503"/>
      <c r="F6" s="503">
        <v>2022</v>
      </c>
      <c r="G6" s="503">
        <v>2023</v>
      </c>
      <c r="H6" s="503"/>
      <c r="I6" s="503"/>
      <c r="J6" s="503"/>
      <c r="K6" s="503"/>
      <c r="L6" s="503"/>
      <c r="M6" s="503"/>
      <c r="N6" s="503"/>
      <c r="O6" s="503"/>
      <c r="P6" s="503"/>
      <c r="Q6" s="503"/>
      <c r="R6" s="503"/>
      <c r="S6" s="503"/>
      <c r="T6" s="503"/>
      <c r="U6" s="503"/>
      <c r="V6" s="503"/>
      <c r="W6" s="503"/>
      <c r="X6" s="503"/>
      <c r="Y6" s="503"/>
      <c r="Z6" s="503"/>
      <c r="AA6" s="503"/>
      <c r="AB6" s="503"/>
    </row>
    <row r="7" spans="1:31">
      <c r="C7" s="599"/>
      <c r="D7" s="599"/>
      <c r="E7" s="599"/>
      <c r="O7" s="520"/>
      <c r="P7" s="520"/>
      <c r="Q7" s="520"/>
      <c r="R7" s="520"/>
      <c r="S7" s="520"/>
      <c r="T7" s="520"/>
      <c r="U7" s="520"/>
      <c r="V7" s="520"/>
      <c r="W7" s="520"/>
      <c r="X7" s="520"/>
      <c r="Y7" s="520"/>
      <c r="Z7" s="520"/>
      <c r="AA7" s="520"/>
      <c r="AB7" s="520"/>
    </row>
    <row r="8" spans="1:31">
      <c r="A8" s="627" t="s">
        <v>76</v>
      </c>
      <c r="F8" s="461"/>
      <c r="G8" s="461"/>
      <c r="H8" s="461"/>
      <c r="I8" s="461"/>
      <c r="J8" s="461"/>
      <c r="K8" s="461"/>
      <c r="L8" s="461"/>
      <c r="M8" s="461"/>
      <c r="N8" s="461"/>
      <c r="AE8" s="628"/>
    </row>
    <row r="9" spans="1:31">
      <c r="B9" s="600" t="s">
        <v>20</v>
      </c>
      <c r="D9" s="461"/>
      <c r="E9" s="461"/>
      <c r="F9" s="461">
        <v>168710.52734000003</v>
      </c>
      <c r="G9" s="461">
        <v>171594.52619000003</v>
      </c>
      <c r="H9" s="461"/>
      <c r="I9" s="461"/>
      <c r="J9" s="461"/>
      <c r="K9" s="461"/>
      <c r="L9" s="461"/>
      <c r="M9" s="461"/>
      <c r="N9" s="461"/>
      <c r="O9" s="461"/>
      <c r="P9" s="461"/>
      <c r="Q9" s="461"/>
      <c r="R9" s="461"/>
      <c r="S9" s="461"/>
      <c r="T9" s="461"/>
      <c r="U9" s="461"/>
      <c r="V9" s="461"/>
      <c r="W9" s="461"/>
      <c r="X9" s="461"/>
      <c r="Y9" s="461"/>
      <c r="Z9" s="461"/>
      <c r="AA9" s="461"/>
      <c r="AB9" s="461"/>
    </row>
    <row r="10" spans="1:31">
      <c r="B10" s="600" t="s">
        <v>21</v>
      </c>
      <c r="D10" s="461"/>
      <c r="E10" s="461"/>
      <c r="F10" s="461">
        <v>56569.629559999987</v>
      </c>
      <c r="G10" s="461">
        <v>57094.455739999998</v>
      </c>
      <c r="H10" s="461"/>
      <c r="I10" s="461"/>
      <c r="J10" s="461"/>
      <c r="K10" s="461"/>
      <c r="L10" s="461"/>
      <c r="M10" s="461"/>
      <c r="N10" s="461"/>
      <c r="O10" s="461"/>
      <c r="P10" s="461"/>
      <c r="Q10" s="461"/>
      <c r="R10" s="461"/>
      <c r="S10" s="461"/>
      <c r="T10" s="461"/>
      <c r="U10" s="461"/>
      <c r="V10" s="461"/>
      <c r="W10" s="461"/>
      <c r="X10" s="461"/>
      <c r="Y10" s="461"/>
      <c r="Z10" s="461"/>
      <c r="AA10" s="461"/>
      <c r="AB10" s="461"/>
    </row>
    <row r="11" spans="1:31">
      <c r="B11" s="600" t="s">
        <v>276</v>
      </c>
      <c r="D11" s="461"/>
      <c r="E11" s="461"/>
      <c r="F11" s="461">
        <v>177560.31468000001</v>
      </c>
      <c r="G11" s="461">
        <v>179860.30659999995</v>
      </c>
      <c r="H11" s="461"/>
      <c r="I11" s="461"/>
      <c r="J11" s="461"/>
      <c r="K11" s="461"/>
      <c r="L11" s="461"/>
      <c r="M11" s="461"/>
      <c r="N11" s="461"/>
      <c r="O11" s="461"/>
      <c r="P11" s="461"/>
      <c r="Q11" s="461"/>
      <c r="R11" s="461"/>
      <c r="S11" s="461"/>
      <c r="T11" s="461"/>
      <c r="U11" s="461"/>
      <c r="V11" s="461"/>
      <c r="W11" s="461"/>
      <c r="X11" s="461"/>
      <c r="Y11" s="461"/>
      <c r="Z11" s="461"/>
      <c r="AA11" s="461"/>
      <c r="AB11" s="461"/>
    </row>
    <row r="12" spans="1:31">
      <c r="B12" s="600" t="s">
        <v>77</v>
      </c>
      <c r="D12" s="461"/>
      <c r="E12" s="461"/>
      <c r="F12" s="461">
        <v>109596.63737083001</v>
      </c>
      <c r="G12" s="461">
        <v>110278.04732083</v>
      </c>
      <c r="H12" s="461"/>
      <c r="I12" s="461"/>
      <c r="J12" s="461"/>
      <c r="K12" s="461"/>
      <c r="L12" s="461"/>
      <c r="M12" s="461"/>
      <c r="N12" s="461"/>
      <c r="O12" s="461"/>
      <c r="P12" s="461"/>
      <c r="Q12" s="461"/>
      <c r="R12" s="461"/>
      <c r="S12" s="461"/>
      <c r="T12" s="461"/>
      <c r="U12" s="461"/>
      <c r="V12" s="461"/>
      <c r="W12" s="461"/>
      <c r="X12" s="461"/>
      <c r="Y12" s="461"/>
      <c r="Z12" s="461"/>
      <c r="AA12" s="461"/>
      <c r="AB12" s="461"/>
    </row>
    <row r="13" spans="1:31">
      <c r="B13" s="600" t="s">
        <v>78</v>
      </c>
      <c r="D13" s="461"/>
      <c r="E13" s="461"/>
      <c r="F13" s="461">
        <v>103195.49569999998</v>
      </c>
      <c r="G13" s="461">
        <v>104681.43609999996</v>
      </c>
      <c r="H13" s="461"/>
      <c r="I13" s="461"/>
      <c r="J13" s="461"/>
      <c r="K13" s="461"/>
      <c r="L13" s="461"/>
      <c r="M13" s="461"/>
      <c r="N13" s="461"/>
      <c r="O13" s="461"/>
      <c r="P13" s="461"/>
      <c r="Q13" s="461"/>
      <c r="R13" s="461"/>
      <c r="S13" s="461"/>
      <c r="T13" s="461"/>
      <c r="U13" s="461"/>
      <c r="V13" s="461"/>
      <c r="W13" s="461"/>
      <c r="X13" s="461"/>
      <c r="Y13" s="461"/>
      <c r="Z13" s="461"/>
      <c r="AA13" s="461"/>
      <c r="AB13" s="461"/>
    </row>
    <row r="14" spans="1:31">
      <c r="B14" s="600" t="s">
        <v>79</v>
      </c>
      <c r="D14" s="461"/>
      <c r="E14" s="461"/>
      <c r="F14" s="461">
        <v>0</v>
      </c>
      <c r="G14" s="461">
        <v>0</v>
      </c>
      <c r="H14" s="461"/>
      <c r="I14" s="461"/>
      <c r="J14" s="461"/>
      <c r="K14" s="461"/>
      <c r="L14" s="461"/>
      <c r="M14" s="461"/>
      <c r="N14" s="461"/>
      <c r="O14" s="461"/>
      <c r="P14" s="461"/>
      <c r="Q14" s="461"/>
      <c r="R14" s="461"/>
      <c r="S14" s="461"/>
      <c r="T14" s="461"/>
      <c r="U14" s="461"/>
      <c r="V14" s="461"/>
      <c r="W14" s="461"/>
      <c r="X14" s="461"/>
      <c r="Y14" s="461"/>
      <c r="Z14" s="461"/>
      <c r="AA14" s="461"/>
      <c r="AB14" s="461"/>
    </row>
    <row r="15" spans="1:31">
      <c r="B15" s="600" t="s">
        <v>80</v>
      </c>
      <c r="D15" s="461"/>
      <c r="E15" s="461"/>
      <c r="F15" s="461">
        <v>345302.92000340577</v>
      </c>
      <c r="G15" s="461">
        <v>349991.26402862382</v>
      </c>
      <c r="H15" s="461"/>
      <c r="I15" s="461"/>
      <c r="J15" s="461"/>
      <c r="K15" s="461"/>
      <c r="L15" s="461"/>
      <c r="M15" s="461"/>
      <c r="N15" s="461"/>
      <c r="O15" s="461"/>
      <c r="P15" s="461"/>
      <c r="Q15" s="461"/>
      <c r="R15" s="461"/>
      <c r="S15" s="461"/>
      <c r="T15" s="461"/>
      <c r="U15" s="461"/>
      <c r="V15" s="461"/>
      <c r="W15" s="461"/>
      <c r="X15" s="461"/>
      <c r="Y15" s="461"/>
      <c r="Z15" s="461"/>
      <c r="AA15" s="461"/>
      <c r="AB15" s="461"/>
    </row>
    <row r="16" spans="1:31">
      <c r="A16" s="629" t="s">
        <v>81</v>
      </c>
      <c r="D16" s="461"/>
      <c r="E16" s="461"/>
      <c r="F16" s="461">
        <v>960935.52465423581</v>
      </c>
      <c r="G16" s="461">
        <v>973500.03597945382</v>
      </c>
      <c r="H16" s="461"/>
      <c r="I16" s="461"/>
      <c r="J16" s="461"/>
      <c r="K16" s="461"/>
      <c r="L16" s="461"/>
      <c r="M16" s="461"/>
      <c r="N16" s="461"/>
      <c r="O16" s="461"/>
      <c r="P16" s="461"/>
      <c r="Q16" s="461"/>
      <c r="R16" s="461"/>
      <c r="S16" s="461"/>
      <c r="T16" s="461"/>
      <c r="U16" s="461"/>
      <c r="V16" s="461"/>
      <c r="W16" s="461"/>
      <c r="X16" s="461"/>
      <c r="Y16" s="461"/>
      <c r="Z16" s="461"/>
      <c r="AA16" s="461"/>
      <c r="AB16" s="461"/>
    </row>
    <row r="17" spans="1:28">
      <c r="A17" s="629"/>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row>
    <row r="19" spans="1:28">
      <c r="A19" s="630" t="s">
        <v>82</v>
      </c>
      <c r="F19" s="461"/>
      <c r="G19" s="461"/>
      <c r="H19" s="461"/>
      <c r="I19" s="461"/>
      <c r="J19" s="461"/>
      <c r="K19" s="461"/>
      <c r="L19" s="461"/>
      <c r="M19" s="461"/>
      <c r="N19" s="461"/>
      <c r="O19" s="461"/>
      <c r="P19" s="461"/>
      <c r="Q19" s="461"/>
      <c r="R19" s="461"/>
      <c r="S19" s="461"/>
      <c r="T19" s="461"/>
      <c r="U19" s="461"/>
      <c r="V19" s="461"/>
      <c r="W19" s="461"/>
      <c r="X19" s="461"/>
      <c r="Y19" s="461"/>
      <c r="Z19" s="461"/>
      <c r="AA19" s="461"/>
      <c r="AB19" s="461"/>
    </row>
    <row r="20" spans="1:28">
      <c r="B20" s="601" t="s">
        <v>82</v>
      </c>
    </row>
    <row r="21" spans="1:28">
      <c r="B21" s="602" t="s">
        <v>83</v>
      </c>
      <c r="D21" s="461"/>
      <c r="E21" s="461"/>
      <c r="F21" s="461">
        <v>0</v>
      </c>
      <c r="G21" s="461">
        <v>0</v>
      </c>
      <c r="H21" s="461"/>
      <c r="I21" s="461"/>
      <c r="J21" s="461"/>
      <c r="K21" s="461"/>
      <c r="L21" s="461"/>
      <c r="M21" s="461"/>
      <c r="N21" s="461"/>
      <c r="O21" s="461"/>
      <c r="P21" s="461"/>
      <c r="Q21" s="461"/>
      <c r="R21" s="461"/>
      <c r="S21" s="461"/>
      <c r="T21" s="461"/>
      <c r="U21" s="461"/>
      <c r="V21" s="461"/>
      <c r="W21" s="461"/>
      <c r="X21" s="461"/>
      <c r="Y21" s="461"/>
      <c r="Z21" s="461"/>
      <c r="AA21" s="461"/>
      <c r="AB21" s="461"/>
    </row>
    <row r="22" spans="1:28">
      <c r="B22" s="602" t="s">
        <v>84</v>
      </c>
      <c r="D22" s="461"/>
      <c r="E22" s="461"/>
      <c r="F22" s="461">
        <v>-18968</v>
      </c>
      <c r="G22" s="461">
        <v>-18968</v>
      </c>
      <c r="H22" s="461"/>
      <c r="I22" s="461"/>
      <c r="J22" s="461"/>
      <c r="K22" s="461"/>
      <c r="L22" s="461"/>
      <c r="M22" s="461"/>
      <c r="N22" s="461"/>
      <c r="O22" s="461"/>
      <c r="P22" s="461"/>
      <c r="Q22" s="461"/>
      <c r="R22" s="461"/>
      <c r="S22" s="461"/>
      <c r="T22" s="461"/>
      <c r="U22" s="461"/>
      <c r="V22" s="461"/>
      <c r="W22" s="461"/>
      <c r="X22" s="461"/>
      <c r="Y22" s="461"/>
      <c r="Z22" s="461"/>
      <c r="AA22" s="461"/>
      <c r="AB22" s="461"/>
    </row>
    <row r="23" spans="1:28">
      <c r="B23" s="602" t="s">
        <v>85</v>
      </c>
      <c r="D23" s="461"/>
      <c r="E23" s="461"/>
      <c r="F23" s="461">
        <v>108188.94100000001</v>
      </c>
      <c r="G23" s="461">
        <v>115052.02100000001</v>
      </c>
      <c r="H23" s="461"/>
      <c r="I23" s="461"/>
      <c r="J23" s="461"/>
      <c r="K23" s="461"/>
      <c r="L23" s="461"/>
      <c r="M23" s="461"/>
      <c r="N23" s="461"/>
      <c r="O23" s="461"/>
      <c r="P23" s="461"/>
      <c r="Q23" s="461"/>
      <c r="R23" s="461"/>
      <c r="S23" s="461"/>
      <c r="T23" s="461"/>
      <c r="U23" s="461"/>
      <c r="V23" s="461"/>
      <c r="W23" s="461"/>
      <c r="X23" s="461"/>
      <c r="Y23" s="461"/>
      <c r="Z23" s="461"/>
      <c r="AA23" s="461"/>
      <c r="AB23" s="461"/>
    </row>
    <row r="24" spans="1:28">
      <c r="B24" s="602" t="s">
        <v>86</v>
      </c>
      <c r="D24" s="461"/>
      <c r="E24" s="461"/>
      <c r="F24" s="461">
        <v>558.55197882977905</v>
      </c>
      <c r="G24" s="461">
        <v>558.55197882977905</v>
      </c>
      <c r="H24" s="461"/>
      <c r="I24" s="461"/>
      <c r="J24" s="461"/>
      <c r="K24" s="461"/>
      <c r="L24" s="461"/>
      <c r="M24" s="461"/>
      <c r="N24" s="461"/>
      <c r="O24" s="461"/>
      <c r="P24" s="461"/>
      <c r="Q24" s="461"/>
      <c r="R24" s="461"/>
      <c r="S24" s="461"/>
      <c r="T24" s="461"/>
      <c r="U24" s="461"/>
      <c r="V24" s="461"/>
      <c r="W24" s="461"/>
      <c r="X24" s="461"/>
      <c r="Y24" s="461"/>
      <c r="Z24" s="461"/>
      <c r="AA24" s="461"/>
      <c r="AB24" s="461"/>
    </row>
    <row r="25" spans="1:28">
      <c r="B25" s="602" t="s">
        <v>87</v>
      </c>
      <c r="D25" s="461"/>
      <c r="E25" s="461"/>
      <c r="F25" s="461">
        <v>2959.694</v>
      </c>
      <c r="G25" s="461">
        <v>1927.3420000000001</v>
      </c>
      <c r="H25" s="461"/>
      <c r="I25" s="461"/>
      <c r="J25" s="461"/>
      <c r="K25" s="461"/>
      <c r="L25" s="461"/>
      <c r="M25" s="461"/>
      <c r="N25" s="461"/>
      <c r="O25" s="461"/>
      <c r="P25" s="461"/>
      <c r="Q25" s="461"/>
      <c r="R25" s="461"/>
      <c r="S25" s="461"/>
      <c r="T25" s="461"/>
      <c r="U25" s="461"/>
      <c r="V25" s="461"/>
      <c r="W25" s="461"/>
      <c r="X25" s="461"/>
      <c r="Y25" s="461"/>
      <c r="Z25" s="461"/>
      <c r="AA25" s="461"/>
      <c r="AB25" s="461"/>
    </row>
    <row r="26" spans="1:28">
      <c r="B26" s="602" t="s">
        <v>466</v>
      </c>
      <c r="D26" s="461"/>
      <c r="E26" s="461"/>
      <c r="F26" s="461">
        <v>67410.732764960689</v>
      </c>
      <c r="G26" s="461">
        <v>65176.244244571259</v>
      </c>
      <c r="H26" s="461"/>
      <c r="I26" s="461"/>
      <c r="J26" s="461"/>
      <c r="K26" s="461"/>
      <c r="L26" s="461"/>
      <c r="M26" s="461"/>
      <c r="N26" s="461"/>
      <c r="O26" s="461"/>
      <c r="P26" s="461"/>
      <c r="Q26" s="461"/>
      <c r="R26" s="461"/>
      <c r="S26" s="461"/>
      <c r="T26" s="461"/>
      <c r="U26" s="461"/>
      <c r="V26" s="461"/>
      <c r="W26" s="461"/>
      <c r="X26" s="461"/>
      <c r="Y26" s="461"/>
      <c r="Z26" s="461"/>
      <c r="AA26" s="461"/>
      <c r="AB26" s="461"/>
    </row>
    <row r="27" spans="1:28">
      <c r="B27" s="603" t="s">
        <v>120</v>
      </c>
      <c r="D27" s="470"/>
      <c r="E27" s="461"/>
      <c r="F27" s="461">
        <v>0</v>
      </c>
      <c r="G27" s="461">
        <v>0</v>
      </c>
      <c r="H27" s="461"/>
      <c r="I27" s="461"/>
      <c r="J27" s="461"/>
      <c r="K27" s="461"/>
      <c r="L27" s="461"/>
      <c r="M27" s="461"/>
      <c r="N27" s="461"/>
      <c r="O27" s="461"/>
      <c r="P27" s="461"/>
      <c r="Q27" s="461"/>
      <c r="R27" s="461"/>
      <c r="S27" s="461"/>
      <c r="T27" s="461"/>
      <c r="U27" s="461"/>
      <c r="V27" s="461"/>
      <c r="W27" s="461"/>
      <c r="X27" s="461"/>
      <c r="Y27" s="461"/>
      <c r="Z27" s="461"/>
      <c r="AA27" s="461"/>
      <c r="AB27" s="461"/>
    </row>
    <row r="28" spans="1:28">
      <c r="B28" s="604" t="s">
        <v>88</v>
      </c>
      <c r="D28" s="461"/>
      <c r="E28" s="461"/>
      <c r="F28" s="461">
        <v>-15937.166675230948</v>
      </c>
      <c r="G28" s="461">
        <v>-16016.208382180472</v>
      </c>
      <c r="H28" s="461"/>
      <c r="I28" s="461"/>
      <c r="J28" s="461"/>
      <c r="K28" s="461"/>
      <c r="L28" s="461"/>
      <c r="M28" s="461"/>
      <c r="N28" s="461"/>
      <c r="O28" s="461"/>
      <c r="P28" s="461"/>
      <c r="Q28" s="461"/>
      <c r="R28" s="461"/>
      <c r="S28" s="461"/>
      <c r="T28" s="461"/>
      <c r="U28" s="461"/>
      <c r="V28" s="461"/>
      <c r="W28" s="461"/>
      <c r="X28" s="461"/>
      <c r="Y28" s="461"/>
      <c r="Z28" s="461"/>
      <c r="AA28" s="461"/>
      <c r="AB28" s="461"/>
    </row>
    <row r="29" spans="1:28">
      <c r="B29" s="604" t="s">
        <v>89</v>
      </c>
      <c r="D29" s="461"/>
      <c r="E29" s="461"/>
      <c r="F29" s="461">
        <v>-2002.4389893993607</v>
      </c>
      <c r="G29" s="461">
        <v>-1809.9139477692374</v>
      </c>
      <c r="H29" s="461"/>
      <c r="I29" s="461"/>
      <c r="J29" s="461"/>
      <c r="K29" s="461"/>
      <c r="L29" s="461"/>
      <c r="M29" s="461"/>
      <c r="N29" s="461"/>
      <c r="O29" s="461"/>
      <c r="P29" s="461"/>
      <c r="Q29" s="461"/>
      <c r="R29" s="461"/>
      <c r="S29" s="461"/>
      <c r="T29" s="461"/>
      <c r="U29" s="461"/>
      <c r="V29" s="461"/>
      <c r="W29" s="461"/>
      <c r="X29" s="461"/>
      <c r="Y29" s="461"/>
      <c r="Z29" s="461"/>
      <c r="AA29" s="461"/>
      <c r="AB29" s="461"/>
    </row>
    <row r="30" spans="1:28">
      <c r="A30" s="631" t="s">
        <v>90</v>
      </c>
      <c r="D30" s="465"/>
      <c r="E30" s="465"/>
      <c r="F30" s="465">
        <v>142210.31407916016</v>
      </c>
      <c r="G30" s="465">
        <v>145920.03689345132</v>
      </c>
      <c r="H30" s="465"/>
      <c r="I30" s="465"/>
      <c r="J30" s="465"/>
      <c r="K30" s="465"/>
      <c r="L30" s="465"/>
      <c r="M30" s="465"/>
      <c r="N30" s="465"/>
      <c r="O30" s="465"/>
      <c r="P30" s="465"/>
      <c r="Q30" s="465"/>
      <c r="R30" s="465"/>
      <c r="S30" s="465"/>
      <c r="T30" s="465"/>
      <c r="U30" s="465"/>
      <c r="V30" s="465"/>
      <c r="W30" s="465"/>
      <c r="X30" s="465"/>
      <c r="Y30" s="465"/>
      <c r="Z30" s="465"/>
      <c r="AA30" s="465"/>
      <c r="AB30" s="465"/>
    </row>
    <row r="31" spans="1:28">
      <c r="F31" s="461"/>
      <c r="G31" s="461"/>
      <c r="H31" s="461"/>
      <c r="I31" s="461"/>
      <c r="J31" s="461"/>
      <c r="K31" s="461"/>
      <c r="L31" s="461"/>
      <c r="M31" s="461"/>
      <c r="N31" s="461"/>
      <c r="O31" s="461"/>
      <c r="P31" s="461"/>
      <c r="Q31" s="461"/>
      <c r="R31" s="461"/>
      <c r="S31" s="461"/>
      <c r="T31" s="461"/>
      <c r="U31" s="461"/>
      <c r="V31" s="461"/>
      <c r="W31" s="461"/>
      <c r="X31" s="461"/>
    </row>
    <row r="32" spans="1:28">
      <c r="A32" s="632" t="s">
        <v>91</v>
      </c>
      <c r="D32" s="465"/>
      <c r="E32" s="465"/>
      <c r="F32" s="465">
        <v>1103145.838733396</v>
      </c>
      <c r="G32" s="465">
        <v>1119420.0728729051</v>
      </c>
      <c r="H32" s="465"/>
      <c r="I32" s="465"/>
      <c r="J32" s="465"/>
      <c r="K32" s="465"/>
      <c r="L32" s="465"/>
      <c r="M32" s="465"/>
      <c r="N32" s="465"/>
      <c r="O32" s="465"/>
      <c r="P32" s="465"/>
      <c r="Q32" s="465"/>
      <c r="R32" s="465"/>
      <c r="S32" s="465"/>
      <c r="T32" s="465"/>
      <c r="U32" s="465"/>
      <c r="V32" s="465"/>
      <c r="W32" s="465"/>
      <c r="X32" s="465"/>
      <c r="Y32" s="465"/>
      <c r="Z32" s="465"/>
      <c r="AA32" s="465"/>
      <c r="AB32" s="465"/>
    </row>
    <row r="34" spans="1:28">
      <c r="A34" s="633" t="s">
        <v>462</v>
      </c>
      <c r="D34" s="465"/>
      <c r="E34" s="465"/>
      <c r="F34" s="465">
        <v>40022.921330264944</v>
      </c>
      <c r="G34" s="465">
        <v>40012.201427157735</v>
      </c>
      <c r="H34" s="465"/>
      <c r="I34" s="465"/>
      <c r="J34" s="465"/>
      <c r="K34" s="465"/>
      <c r="L34" s="465"/>
      <c r="M34" s="465"/>
      <c r="N34" s="465"/>
      <c r="O34" s="465"/>
      <c r="P34" s="465"/>
      <c r="Q34" s="465"/>
      <c r="R34" s="465"/>
      <c r="S34" s="465"/>
      <c r="T34" s="465"/>
      <c r="U34" s="465"/>
      <c r="V34" s="465"/>
      <c r="W34" s="465"/>
      <c r="X34" s="465"/>
      <c r="Y34" s="465"/>
      <c r="Z34" s="465"/>
      <c r="AA34" s="465"/>
      <c r="AB34" s="465"/>
    </row>
    <row r="35" spans="1:28">
      <c r="A35" s="633" t="s">
        <v>93</v>
      </c>
      <c r="D35" s="461"/>
      <c r="E35" s="461"/>
      <c r="F35" s="634">
        <v>0</v>
      </c>
      <c r="G35" s="635">
        <v>0</v>
      </c>
      <c r="H35" s="461"/>
      <c r="I35" s="461"/>
      <c r="J35" s="461"/>
      <c r="K35" s="461"/>
      <c r="L35" s="461"/>
      <c r="M35" s="461"/>
      <c r="N35" s="461"/>
      <c r="O35" s="461"/>
      <c r="P35" s="461"/>
      <c r="Q35" s="461"/>
      <c r="R35" s="461"/>
      <c r="S35" s="461"/>
      <c r="T35" s="461"/>
      <c r="U35" s="461"/>
      <c r="V35" s="461"/>
      <c r="W35" s="461"/>
      <c r="X35" s="461"/>
      <c r="Y35" s="461"/>
      <c r="Z35" s="461"/>
      <c r="AA35" s="461"/>
      <c r="AB35" s="461"/>
    </row>
    <row r="36" spans="1:28">
      <c r="A36" s="633" t="s">
        <v>94</v>
      </c>
      <c r="D36" s="465"/>
      <c r="E36" s="465"/>
      <c r="F36" s="465">
        <v>40022.921330264944</v>
      </c>
      <c r="G36" s="465">
        <v>40012.201427157735</v>
      </c>
      <c r="H36" s="465"/>
      <c r="I36" s="465"/>
      <c r="J36" s="465"/>
      <c r="K36" s="465"/>
      <c r="L36" s="465"/>
      <c r="M36" s="465"/>
      <c r="N36" s="465"/>
      <c r="O36" s="465"/>
      <c r="P36" s="465"/>
      <c r="Q36" s="465"/>
      <c r="R36" s="465"/>
      <c r="S36" s="465"/>
      <c r="T36" s="465"/>
      <c r="U36" s="465"/>
      <c r="V36" s="465"/>
      <c r="W36" s="465"/>
      <c r="X36" s="465"/>
      <c r="Y36" s="465"/>
      <c r="Z36" s="465"/>
      <c r="AA36" s="465"/>
      <c r="AB36" s="465"/>
    </row>
    <row r="37" spans="1:28">
      <c r="A37" s="633"/>
    </row>
    <row r="38" spans="1:28">
      <c r="A38" s="636" t="s">
        <v>95</v>
      </c>
      <c r="D38" s="465"/>
      <c r="E38" s="465"/>
      <c r="F38" s="465">
        <v>1143168.760063661</v>
      </c>
      <c r="G38" s="465">
        <v>1159432.2743000628</v>
      </c>
      <c r="H38" s="465"/>
      <c r="I38" s="465"/>
      <c r="J38" s="465"/>
      <c r="K38" s="465"/>
      <c r="L38" s="465"/>
      <c r="M38" s="465"/>
      <c r="N38" s="465"/>
      <c r="O38" s="465"/>
      <c r="P38" s="465"/>
      <c r="Q38" s="465"/>
      <c r="R38" s="465"/>
      <c r="S38" s="465"/>
      <c r="T38" s="465"/>
      <c r="U38" s="465"/>
      <c r="V38" s="465"/>
      <c r="W38" s="465"/>
      <c r="X38" s="465"/>
      <c r="Y38" s="465"/>
      <c r="Z38" s="465"/>
      <c r="AA38" s="465"/>
      <c r="AB38" s="465"/>
    </row>
    <row r="39" spans="1:28">
      <c r="F39" s="508"/>
      <c r="G39" s="508"/>
      <c r="H39" s="508"/>
      <c r="I39" s="508"/>
      <c r="J39" s="508"/>
      <c r="K39" s="508"/>
      <c r="L39" s="508"/>
      <c r="M39" s="508"/>
      <c r="N39" s="508"/>
      <c r="O39" s="508"/>
      <c r="P39" s="508"/>
      <c r="Q39" s="508"/>
      <c r="R39" s="508"/>
      <c r="S39" s="508"/>
      <c r="T39" s="508"/>
      <c r="U39" s="508"/>
      <c r="V39" s="508"/>
      <c r="W39" s="508"/>
      <c r="X39" s="508"/>
      <c r="Y39" s="508"/>
      <c r="Z39" s="508"/>
      <c r="AA39" s="508"/>
      <c r="AB39" s="508"/>
    </row>
    <row r="40" spans="1:28" ht="20.25" customHeight="1">
      <c r="A40" s="458"/>
      <c r="B40" s="458"/>
      <c r="C40" s="458"/>
      <c r="D40" s="458"/>
      <c r="E40" s="458"/>
      <c r="F40" s="605"/>
      <c r="G40" s="605"/>
      <c r="H40" s="605"/>
      <c r="I40" s="605"/>
      <c r="J40" s="605"/>
      <c r="K40" s="605"/>
      <c r="L40" s="605"/>
      <c r="M40" s="605"/>
      <c r="N40" s="605"/>
      <c r="O40" s="605"/>
      <c r="P40" s="605"/>
      <c r="Q40" s="605"/>
      <c r="R40" s="605"/>
      <c r="S40" s="605"/>
      <c r="T40" s="605"/>
      <c r="U40" s="605"/>
      <c r="V40" s="605"/>
      <c r="W40" s="605"/>
      <c r="X40" s="605"/>
      <c r="Y40" s="605"/>
      <c r="Z40" s="605"/>
      <c r="AA40" s="605"/>
      <c r="AB40" s="605"/>
    </row>
    <row r="41" spans="1:28">
      <c r="A41" s="598" t="s">
        <v>121</v>
      </c>
      <c r="B41" s="598"/>
      <c r="C41" s="598"/>
      <c r="D41" s="503"/>
      <c r="E41" s="503"/>
      <c r="F41" s="536">
        <v>2022</v>
      </c>
      <c r="G41" s="536">
        <v>2023</v>
      </c>
      <c r="H41" s="536"/>
      <c r="I41" s="536"/>
      <c r="J41" s="536"/>
      <c r="K41" s="536"/>
      <c r="L41" s="536"/>
      <c r="M41" s="536"/>
      <c r="N41" s="536"/>
      <c r="O41" s="536"/>
      <c r="P41" s="536"/>
      <c r="Q41" s="536"/>
      <c r="R41" s="536"/>
      <c r="S41" s="536"/>
      <c r="T41" s="536"/>
      <c r="U41" s="536"/>
      <c r="V41" s="536"/>
      <c r="W41" s="536"/>
      <c r="X41" s="536"/>
      <c r="Y41" s="536"/>
      <c r="Z41" s="536"/>
      <c r="AA41" s="536"/>
      <c r="AB41" s="536"/>
    </row>
    <row r="43" spans="1:28">
      <c r="A43" s="637" t="s">
        <v>122</v>
      </c>
      <c r="B43" s="606"/>
      <c r="C43" s="606"/>
      <c r="D43" s="460"/>
      <c r="E43" s="460"/>
      <c r="F43" s="461"/>
      <c r="G43" s="461"/>
      <c r="H43" s="461"/>
      <c r="I43" s="461"/>
      <c r="J43" s="461"/>
      <c r="K43" s="461"/>
      <c r="L43" s="461"/>
      <c r="M43" s="461"/>
      <c r="N43" s="461"/>
      <c r="O43" s="461"/>
      <c r="P43" s="461"/>
      <c r="Q43" s="461"/>
      <c r="R43" s="461"/>
      <c r="S43" s="461"/>
      <c r="T43" s="461"/>
      <c r="U43" s="461"/>
      <c r="V43" s="461"/>
      <c r="W43" s="461"/>
      <c r="X43" s="461"/>
      <c r="Y43" s="461"/>
      <c r="Z43" s="461"/>
      <c r="AA43" s="461"/>
      <c r="AB43" s="461"/>
    </row>
    <row r="44" spans="1:28">
      <c r="A44" s="637"/>
      <c r="B44" s="607" t="s">
        <v>186</v>
      </c>
      <c r="C44" s="606"/>
      <c r="F44" s="461">
        <v>40022.921330264944</v>
      </c>
      <c r="G44" s="461">
        <v>40012.201427157735</v>
      </c>
      <c r="H44" s="461"/>
      <c r="I44" s="461"/>
      <c r="J44" s="461"/>
      <c r="K44" s="461"/>
      <c r="L44" s="461"/>
      <c r="M44" s="461"/>
      <c r="N44" s="461"/>
      <c r="O44" s="461"/>
      <c r="P44" s="461"/>
      <c r="Q44" s="461"/>
      <c r="R44" s="461"/>
      <c r="S44" s="461"/>
      <c r="T44" s="461"/>
      <c r="U44" s="461"/>
      <c r="V44" s="461"/>
      <c r="W44" s="461"/>
      <c r="X44" s="461"/>
      <c r="Y44" s="461"/>
      <c r="Z44" s="461"/>
      <c r="AA44" s="461"/>
      <c r="AB44" s="461"/>
    </row>
    <row r="45" spans="1:28">
      <c r="B45" s="608" t="s">
        <v>559</v>
      </c>
      <c r="D45" s="461"/>
      <c r="E45" s="461"/>
      <c r="F45" s="461">
        <v>22.921330264944118</v>
      </c>
      <c r="G45" s="461">
        <v>12.201427157735452</v>
      </c>
      <c r="H45" s="461"/>
      <c r="I45" s="461"/>
      <c r="J45" s="461"/>
      <c r="K45" s="461"/>
      <c r="L45" s="461"/>
      <c r="M45" s="461"/>
      <c r="N45" s="461"/>
      <c r="O45" s="461"/>
      <c r="P45" s="461"/>
      <c r="Q45" s="461"/>
      <c r="R45" s="461"/>
      <c r="S45" s="461"/>
      <c r="T45" s="461"/>
      <c r="U45" s="461"/>
      <c r="V45" s="461"/>
      <c r="W45" s="461"/>
      <c r="X45" s="461"/>
      <c r="Y45" s="461"/>
      <c r="Z45" s="461"/>
      <c r="AA45" s="461"/>
      <c r="AB45" s="461"/>
    </row>
    <row r="46" spans="1:28">
      <c r="B46" s="608" t="s">
        <v>455</v>
      </c>
      <c r="D46" s="461"/>
      <c r="E46" s="461"/>
      <c r="F46" s="461">
        <v>40000</v>
      </c>
      <c r="G46" s="461">
        <v>40000</v>
      </c>
      <c r="H46" s="461"/>
      <c r="I46" s="461"/>
      <c r="J46" s="461"/>
      <c r="K46" s="461"/>
      <c r="L46" s="461"/>
      <c r="M46" s="461"/>
      <c r="N46" s="461"/>
      <c r="O46" s="461"/>
      <c r="P46" s="461"/>
      <c r="Q46" s="461"/>
      <c r="R46" s="461"/>
      <c r="S46" s="461"/>
      <c r="T46" s="461"/>
      <c r="U46" s="461"/>
      <c r="V46" s="461"/>
      <c r="W46" s="461"/>
      <c r="X46" s="461"/>
      <c r="Y46" s="461"/>
      <c r="Z46" s="461"/>
      <c r="AA46" s="461"/>
      <c r="AB46" s="461"/>
    </row>
    <row r="47" spans="1:28">
      <c r="B47" s="608" t="s">
        <v>454</v>
      </c>
      <c r="D47" s="461"/>
      <c r="E47" s="461"/>
      <c r="F47" s="461">
        <v>0</v>
      </c>
      <c r="G47" s="461">
        <v>0</v>
      </c>
      <c r="H47" s="461"/>
      <c r="I47" s="461"/>
      <c r="J47" s="461"/>
      <c r="K47" s="461"/>
      <c r="L47" s="461"/>
      <c r="M47" s="461"/>
      <c r="N47" s="461"/>
      <c r="O47" s="461"/>
      <c r="P47" s="461"/>
      <c r="Q47" s="461"/>
      <c r="R47" s="461"/>
      <c r="S47" s="461"/>
      <c r="T47" s="461"/>
      <c r="U47" s="461"/>
      <c r="V47" s="461"/>
      <c r="W47" s="461"/>
      <c r="X47" s="461"/>
      <c r="Y47" s="461"/>
      <c r="Z47" s="461"/>
      <c r="AA47" s="461"/>
      <c r="AB47" s="461"/>
    </row>
    <row r="48" spans="1:28">
      <c r="B48" s="607" t="s">
        <v>150</v>
      </c>
      <c r="G48" s="465"/>
      <c r="H48" s="465"/>
    </row>
    <row r="49" spans="1:28">
      <c r="B49" s="609" t="s">
        <v>80</v>
      </c>
      <c r="D49" s="465"/>
      <c r="E49" s="610"/>
      <c r="F49" s="465">
        <v>345302.92000340577</v>
      </c>
      <c r="G49" s="465">
        <v>349991.26402862382</v>
      </c>
      <c r="H49" s="465"/>
      <c r="I49" s="465"/>
      <c r="J49" s="465"/>
      <c r="K49" s="465"/>
      <c r="L49" s="465"/>
      <c r="M49" s="465"/>
      <c r="N49" s="465"/>
      <c r="O49" s="465"/>
      <c r="P49" s="465"/>
      <c r="Q49" s="465"/>
      <c r="R49" s="465"/>
      <c r="S49" s="465"/>
      <c r="T49" s="465"/>
      <c r="U49" s="465"/>
      <c r="V49" s="465"/>
      <c r="W49" s="465"/>
      <c r="X49" s="465"/>
      <c r="Y49" s="465"/>
      <c r="Z49" s="465"/>
      <c r="AA49" s="465"/>
      <c r="AB49" s="465"/>
    </row>
    <row r="50" spans="1:28">
      <c r="B50" s="609" t="s">
        <v>473</v>
      </c>
      <c r="D50" s="465"/>
      <c r="E50" s="610"/>
      <c r="F50" s="465">
        <v>4303.9977649606953</v>
      </c>
      <c r="G50" s="465">
        <v>3736.3402445712541</v>
      </c>
      <c r="H50" s="465"/>
      <c r="I50" s="465"/>
      <c r="J50" s="465"/>
      <c r="K50" s="465"/>
      <c r="L50" s="465"/>
      <c r="M50" s="465"/>
      <c r="N50" s="465"/>
      <c r="O50" s="465"/>
      <c r="P50" s="465"/>
      <c r="Q50" s="465"/>
      <c r="R50" s="465"/>
      <c r="S50" s="465"/>
      <c r="T50" s="465"/>
      <c r="U50" s="465"/>
      <c r="V50" s="465"/>
      <c r="W50" s="465"/>
      <c r="X50" s="465"/>
      <c r="Y50" s="465"/>
      <c r="Z50" s="465"/>
      <c r="AA50" s="465"/>
      <c r="AB50" s="465"/>
    </row>
    <row r="51" spans="1:28">
      <c r="B51" s="609" t="s">
        <v>86</v>
      </c>
      <c r="D51" s="558"/>
      <c r="E51" s="610"/>
      <c r="F51" s="461">
        <v>558.55197882977905</v>
      </c>
      <c r="G51" s="461">
        <v>558.55197882977905</v>
      </c>
      <c r="H51" s="461"/>
      <c r="I51" s="461"/>
      <c r="J51" s="461"/>
      <c r="K51" s="461"/>
      <c r="L51" s="461"/>
      <c r="M51" s="461"/>
      <c r="N51" s="461"/>
      <c r="O51" s="461"/>
      <c r="P51" s="461"/>
      <c r="Q51" s="461"/>
      <c r="R51" s="461"/>
      <c r="S51" s="461"/>
      <c r="T51" s="461"/>
      <c r="U51" s="461"/>
      <c r="V51" s="461"/>
      <c r="W51" s="461"/>
      <c r="X51" s="461"/>
      <c r="Y51" s="461"/>
      <c r="Z51" s="461"/>
      <c r="AA51" s="461"/>
      <c r="AB51" s="461"/>
    </row>
    <row r="52" spans="1:28">
      <c r="B52" s="609" t="s">
        <v>84</v>
      </c>
      <c r="D52" s="465"/>
      <c r="E52" s="610"/>
      <c r="F52" s="465">
        <v>-18968</v>
      </c>
      <c r="G52" s="465">
        <v>-18968</v>
      </c>
      <c r="H52" s="465"/>
      <c r="I52" s="465"/>
      <c r="J52" s="465"/>
      <c r="K52" s="465"/>
      <c r="L52" s="465"/>
      <c r="M52" s="465"/>
      <c r="N52" s="465"/>
      <c r="O52" s="465"/>
      <c r="P52" s="465"/>
      <c r="Q52" s="465"/>
      <c r="R52" s="465"/>
      <c r="S52" s="465"/>
      <c r="T52" s="465"/>
      <c r="U52" s="465"/>
      <c r="V52" s="465"/>
      <c r="W52" s="465"/>
      <c r="X52" s="465"/>
      <c r="Y52" s="465"/>
      <c r="Z52" s="465"/>
      <c r="AA52" s="465"/>
      <c r="AB52" s="465"/>
    </row>
    <row r="53" spans="1:28">
      <c r="B53" s="611" t="s">
        <v>153</v>
      </c>
      <c r="C53" s="612"/>
      <c r="E53" s="453"/>
    </row>
    <row r="54" spans="1:28">
      <c r="B54" s="611" t="s">
        <v>467</v>
      </c>
      <c r="D54" s="461"/>
      <c r="E54" s="613"/>
      <c r="F54" s="461">
        <v>-27441.719077461217</v>
      </c>
      <c r="G54" s="461">
        <v>-26071.088679182656</v>
      </c>
      <c r="H54" s="461"/>
      <c r="I54" s="461"/>
      <c r="J54" s="461"/>
      <c r="K54" s="461"/>
      <c r="L54" s="461"/>
      <c r="M54" s="461"/>
      <c r="N54" s="461"/>
      <c r="O54" s="461"/>
      <c r="P54" s="461"/>
      <c r="Q54" s="461"/>
      <c r="R54" s="461"/>
      <c r="S54" s="461"/>
      <c r="T54" s="461"/>
      <c r="U54" s="461"/>
      <c r="V54" s="461"/>
      <c r="W54" s="461"/>
      <c r="X54" s="461"/>
      <c r="Y54" s="461"/>
      <c r="Z54" s="461"/>
      <c r="AA54" s="461"/>
      <c r="AB54" s="461"/>
    </row>
    <row r="55" spans="1:28">
      <c r="B55" s="614" t="s">
        <v>154</v>
      </c>
      <c r="D55" s="461"/>
      <c r="E55" s="613"/>
      <c r="F55" s="461">
        <v>-3507</v>
      </c>
      <c r="G55" s="461">
        <v>-3507</v>
      </c>
      <c r="H55" s="461"/>
      <c r="I55" s="461"/>
      <c r="J55" s="461"/>
      <c r="K55" s="461"/>
      <c r="L55" s="461"/>
      <c r="M55" s="461"/>
      <c r="N55" s="461"/>
      <c r="O55" s="461"/>
      <c r="P55" s="461"/>
      <c r="Q55" s="461"/>
      <c r="R55" s="461"/>
      <c r="S55" s="461"/>
      <c r="T55" s="461"/>
      <c r="U55" s="461"/>
      <c r="V55" s="461"/>
      <c r="W55" s="461"/>
      <c r="X55" s="461"/>
      <c r="Y55" s="461"/>
      <c r="Z55" s="461"/>
      <c r="AA55" s="461"/>
      <c r="AB55" s="461"/>
    </row>
    <row r="56" spans="1:28">
      <c r="B56" s="615" t="s">
        <v>155</v>
      </c>
      <c r="D56" s="461"/>
      <c r="E56" s="461"/>
      <c r="F56" s="461">
        <v>340271.67199999996</v>
      </c>
      <c r="G56" s="461">
        <v>345752.26899999997</v>
      </c>
      <c r="H56" s="461"/>
      <c r="I56" s="461"/>
      <c r="J56" s="461"/>
      <c r="K56" s="461"/>
      <c r="L56" s="461"/>
      <c r="M56" s="461"/>
      <c r="N56" s="461"/>
      <c r="O56" s="461"/>
      <c r="P56" s="461"/>
      <c r="Q56" s="461"/>
      <c r="R56" s="461"/>
      <c r="S56" s="461"/>
      <c r="T56" s="461"/>
      <c r="U56" s="461"/>
      <c r="V56" s="461"/>
      <c r="W56" s="461"/>
      <c r="X56" s="461"/>
      <c r="Y56" s="461"/>
      <c r="Z56" s="461"/>
      <c r="AA56" s="461"/>
      <c r="AB56" s="461"/>
    </row>
    <row r="58" spans="1:28">
      <c r="A58" s="638" t="s">
        <v>158</v>
      </c>
      <c r="B58" s="460"/>
    </row>
    <row r="59" spans="1:28">
      <c r="B59" s="616" t="s">
        <v>159</v>
      </c>
      <c r="C59" s="616"/>
    </row>
    <row r="60" spans="1:28">
      <c r="B60" s="617" t="s">
        <v>160</v>
      </c>
      <c r="D60" s="461"/>
      <c r="E60" s="461"/>
      <c r="F60" s="461">
        <v>-470869.62978661113</v>
      </c>
      <c r="G60" s="461">
        <v>-489393.03966053645</v>
      </c>
      <c r="H60" s="461"/>
      <c r="I60" s="461"/>
      <c r="J60" s="461"/>
      <c r="K60" s="461"/>
      <c r="L60" s="461"/>
      <c r="M60" s="461"/>
      <c r="N60" s="461"/>
      <c r="O60" s="461"/>
      <c r="P60" s="461"/>
      <c r="Q60" s="461"/>
      <c r="R60" s="461"/>
      <c r="S60" s="461"/>
      <c r="T60" s="461"/>
      <c r="U60" s="461"/>
      <c r="V60" s="461"/>
      <c r="W60" s="461"/>
      <c r="X60" s="461"/>
      <c r="Y60" s="461"/>
      <c r="Z60" s="461"/>
      <c r="AA60" s="461"/>
      <c r="AB60" s="461"/>
    </row>
    <row r="61" spans="1:28">
      <c r="B61" s="618" t="s">
        <v>161</v>
      </c>
      <c r="D61" s="464"/>
      <c r="E61" s="464"/>
      <c r="F61" s="461">
        <v>-470869.62978661113</v>
      </c>
      <c r="G61" s="461">
        <v>-489393.03966053645</v>
      </c>
      <c r="H61" s="461"/>
      <c r="I61" s="461"/>
      <c r="J61" s="461"/>
      <c r="K61" s="461"/>
      <c r="L61" s="461"/>
      <c r="M61" s="461"/>
      <c r="N61" s="461"/>
      <c r="O61" s="461"/>
      <c r="P61" s="461"/>
      <c r="Q61" s="461"/>
      <c r="R61" s="461"/>
      <c r="S61" s="461"/>
      <c r="T61" s="461"/>
      <c r="U61" s="461"/>
      <c r="V61" s="461"/>
      <c r="W61" s="461"/>
      <c r="X61" s="461"/>
      <c r="Y61" s="461"/>
      <c r="Z61" s="461"/>
      <c r="AA61" s="461"/>
      <c r="AB61" s="461"/>
    </row>
    <row r="62" spans="1:28">
      <c r="B62" s="460"/>
    </row>
    <row r="63" spans="1:28">
      <c r="A63" s="639" t="s">
        <v>162</v>
      </c>
    </row>
    <row r="64" spans="1:28">
      <c r="B64" s="619" t="s">
        <v>163</v>
      </c>
      <c r="D64" s="461"/>
      <c r="E64" s="461"/>
      <c r="F64" s="461">
        <v>430869.62978661113</v>
      </c>
      <c r="G64" s="461">
        <v>449393.03966053645</v>
      </c>
      <c r="H64" s="461"/>
      <c r="I64" s="461"/>
      <c r="J64" s="461"/>
      <c r="K64" s="461"/>
      <c r="L64" s="461"/>
      <c r="M64" s="461"/>
      <c r="N64" s="461"/>
      <c r="O64" s="461"/>
      <c r="P64" s="461"/>
      <c r="Q64" s="461"/>
      <c r="R64" s="461"/>
      <c r="S64" s="461"/>
      <c r="T64" s="461"/>
      <c r="U64" s="461"/>
      <c r="V64" s="461"/>
      <c r="W64" s="461"/>
      <c r="X64" s="461"/>
      <c r="Y64" s="461"/>
      <c r="Z64" s="461"/>
      <c r="AA64" s="461"/>
      <c r="AB64" s="461"/>
    </row>
    <row r="65" spans="1:29">
      <c r="B65" s="619" t="s">
        <v>164</v>
      </c>
      <c r="D65" s="461"/>
      <c r="E65" s="461"/>
      <c r="F65" s="461">
        <v>-21595.974999999999</v>
      </c>
      <c r="G65" s="461">
        <v>-22678.366999999998</v>
      </c>
      <c r="H65" s="461"/>
      <c r="I65" s="461"/>
      <c r="J65" s="461"/>
      <c r="K65" s="461"/>
      <c r="L65" s="461"/>
      <c r="M65" s="461"/>
      <c r="N65" s="461"/>
      <c r="O65" s="461"/>
      <c r="P65" s="461"/>
      <c r="Q65" s="461"/>
      <c r="R65" s="461"/>
      <c r="S65" s="461"/>
      <c r="T65" s="461"/>
      <c r="U65" s="461"/>
      <c r="V65" s="461"/>
      <c r="W65" s="461"/>
      <c r="X65" s="461"/>
      <c r="Y65" s="461"/>
      <c r="Z65" s="461"/>
      <c r="AA65" s="461"/>
      <c r="AB65" s="461"/>
    </row>
    <row r="66" spans="1:29">
      <c r="B66" s="619" t="s">
        <v>165</v>
      </c>
      <c r="D66" s="461"/>
      <c r="E66" s="461"/>
      <c r="F66" s="461">
        <v>-74478.697</v>
      </c>
      <c r="G66" s="461">
        <v>-73694.902000000002</v>
      </c>
      <c r="H66" s="461"/>
      <c r="I66" s="461"/>
      <c r="J66" s="461"/>
      <c r="K66" s="461"/>
      <c r="L66" s="461"/>
      <c r="M66" s="461"/>
      <c r="N66" s="461"/>
      <c r="O66" s="461"/>
      <c r="P66" s="461"/>
      <c r="Q66" s="461"/>
      <c r="R66" s="461"/>
      <c r="S66" s="461"/>
      <c r="T66" s="461"/>
      <c r="U66" s="461"/>
      <c r="V66" s="461"/>
      <c r="W66" s="461"/>
      <c r="X66" s="461"/>
      <c r="Y66" s="461"/>
      <c r="Z66" s="461"/>
      <c r="AA66" s="461"/>
      <c r="AB66" s="461"/>
    </row>
    <row r="67" spans="1:29">
      <c r="B67" s="619" t="s">
        <v>166</v>
      </c>
      <c r="D67" s="461"/>
      <c r="E67" s="461"/>
      <c r="F67" s="461">
        <v>-204197</v>
      </c>
      <c r="G67" s="461">
        <v>-209379</v>
      </c>
      <c r="H67" s="461"/>
      <c r="I67" s="461"/>
      <c r="J67" s="461"/>
      <c r="K67" s="461"/>
      <c r="L67" s="461"/>
      <c r="M67" s="461"/>
      <c r="N67" s="461"/>
      <c r="O67" s="461"/>
      <c r="P67" s="461"/>
      <c r="Q67" s="461"/>
      <c r="R67" s="461"/>
      <c r="S67" s="461"/>
      <c r="T67" s="461"/>
      <c r="U67" s="461"/>
      <c r="V67" s="461"/>
      <c r="W67" s="461"/>
      <c r="X67" s="461"/>
      <c r="Y67" s="461"/>
      <c r="Z67" s="461"/>
      <c r="AA67" s="461"/>
      <c r="AB67" s="461"/>
    </row>
    <row r="68" spans="1:29">
      <c r="B68" s="619" t="s">
        <v>167</v>
      </c>
      <c r="D68" s="620"/>
      <c r="E68" s="461"/>
      <c r="F68" s="461">
        <v>0</v>
      </c>
      <c r="G68" s="461">
        <v>0</v>
      </c>
      <c r="H68" s="461"/>
      <c r="I68" s="461"/>
      <c r="J68" s="461"/>
      <c r="K68" s="461"/>
      <c r="L68" s="461"/>
      <c r="M68" s="461"/>
      <c r="N68" s="461"/>
      <c r="O68" s="461"/>
      <c r="P68" s="461"/>
      <c r="Q68" s="461"/>
      <c r="R68" s="461"/>
      <c r="S68" s="461"/>
      <c r="T68" s="461"/>
      <c r="U68" s="461"/>
      <c r="V68" s="461"/>
      <c r="W68" s="461"/>
      <c r="X68" s="461"/>
      <c r="Y68" s="461"/>
      <c r="Z68" s="461"/>
      <c r="AA68" s="461"/>
      <c r="AB68" s="461"/>
    </row>
    <row r="69" spans="1:29">
      <c r="B69" s="621" t="s">
        <v>582</v>
      </c>
      <c r="D69" s="465"/>
      <c r="E69" s="465"/>
      <c r="F69" s="465">
        <v>130597.95778661116</v>
      </c>
      <c r="G69" s="465">
        <v>143640.77066053648</v>
      </c>
      <c r="H69" s="465"/>
      <c r="I69" s="465"/>
      <c r="J69" s="465"/>
      <c r="K69" s="465"/>
      <c r="L69" s="465"/>
      <c r="M69" s="465"/>
      <c r="N69" s="465"/>
      <c r="O69" s="465"/>
      <c r="P69" s="465"/>
      <c r="Q69" s="465"/>
      <c r="R69" s="465"/>
      <c r="S69" s="465"/>
      <c r="T69" s="465"/>
      <c r="U69" s="465"/>
      <c r="V69" s="465"/>
      <c r="W69" s="465"/>
      <c r="X69" s="465"/>
      <c r="Y69" s="465"/>
      <c r="Z69" s="465"/>
      <c r="AA69" s="465"/>
      <c r="AB69" s="465"/>
    </row>
    <row r="71" spans="1:29">
      <c r="A71" s="640" t="s">
        <v>168</v>
      </c>
      <c r="D71" s="461"/>
      <c r="E71" s="461"/>
      <c r="F71" s="461">
        <v>0</v>
      </c>
      <c r="G71" s="461">
        <v>0</v>
      </c>
      <c r="H71" s="461"/>
      <c r="I71" s="461"/>
      <c r="J71" s="461"/>
      <c r="K71" s="461"/>
      <c r="L71" s="461"/>
      <c r="M71" s="461"/>
      <c r="N71" s="461"/>
      <c r="O71" s="461"/>
      <c r="P71" s="461"/>
      <c r="Q71" s="461"/>
      <c r="R71" s="461"/>
      <c r="S71" s="461"/>
      <c r="T71" s="461"/>
      <c r="U71" s="461"/>
      <c r="V71" s="461"/>
      <c r="W71" s="461"/>
      <c r="X71" s="461"/>
      <c r="Y71" s="461"/>
      <c r="Z71" s="461"/>
      <c r="AA71" s="461"/>
      <c r="AB71" s="461"/>
    </row>
    <row r="72" spans="1:29">
      <c r="A72" s="641" t="s">
        <v>93</v>
      </c>
      <c r="F72" s="461">
        <v>0</v>
      </c>
      <c r="G72" s="461">
        <v>0</v>
      </c>
      <c r="H72" s="461"/>
      <c r="I72" s="461"/>
      <c r="J72" s="461"/>
      <c r="K72" s="461"/>
      <c r="L72" s="461"/>
      <c r="M72" s="461"/>
      <c r="N72" s="461"/>
      <c r="O72" s="461"/>
      <c r="P72" s="461"/>
      <c r="Q72" s="461"/>
      <c r="R72" s="461"/>
      <c r="S72" s="461"/>
      <c r="T72" s="461"/>
      <c r="U72" s="461"/>
      <c r="V72" s="461"/>
      <c r="W72" s="461"/>
      <c r="X72" s="461"/>
      <c r="Y72" s="461"/>
      <c r="Z72" s="461"/>
      <c r="AA72" s="461"/>
      <c r="AB72" s="461"/>
    </row>
    <row r="73" spans="1:29">
      <c r="A73" s="642" t="s">
        <v>169</v>
      </c>
      <c r="D73" s="461"/>
      <c r="E73" s="461"/>
      <c r="F73" s="461">
        <v>0</v>
      </c>
      <c r="G73" s="461">
        <v>0</v>
      </c>
      <c r="H73" s="461"/>
      <c r="I73" s="461"/>
      <c r="J73" s="461"/>
      <c r="K73" s="461"/>
      <c r="L73" s="461"/>
      <c r="M73" s="461"/>
      <c r="N73" s="461"/>
      <c r="O73" s="461"/>
      <c r="P73" s="461"/>
      <c r="Q73" s="461"/>
      <c r="R73" s="461"/>
      <c r="S73" s="461"/>
      <c r="T73" s="461"/>
      <c r="U73" s="461"/>
      <c r="V73" s="461"/>
      <c r="W73" s="461"/>
      <c r="X73" s="461"/>
      <c r="Y73" s="461"/>
      <c r="Z73" s="461"/>
      <c r="AA73" s="461"/>
      <c r="AB73" s="461"/>
    </row>
    <row r="75" spans="1:29">
      <c r="A75" s="642" t="s">
        <v>608</v>
      </c>
      <c r="D75" s="465"/>
      <c r="E75" s="465"/>
      <c r="F75" s="470">
        <v>-22.921330264944118</v>
      </c>
      <c r="G75" s="461">
        <v>-12.201427157735452</v>
      </c>
      <c r="H75" s="461"/>
      <c r="I75" s="461"/>
      <c r="J75" s="461"/>
      <c r="K75" s="461"/>
      <c r="L75" s="461"/>
      <c r="M75" s="461"/>
      <c r="N75" s="461"/>
      <c r="O75" s="461"/>
      <c r="P75" s="461"/>
      <c r="Q75" s="461"/>
      <c r="R75" s="461"/>
      <c r="S75" s="461"/>
      <c r="T75" s="461"/>
      <c r="U75" s="461"/>
      <c r="V75" s="461"/>
      <c r="W75" s="461"/>
      <c r="X75" s="461"/>
      <c r="Y75" s="461"/>
      <c r="Z75" s="461"/>
      <c r="AA75" s="461"/>
      <c r="AB75" s="461"/>
      <c r="AC75" s="461"/>
    </row>
    <row r="76" spans="1:29">
      <c r="A76" s="642"/>
      <c r="D76" s="465"/>
      <c r="E76" s="465"/>
      <c r="F76" s="465"/>
      <c r="G76" s="465"/>
      <c r="H76" s="465"/>
      <c r="I76" s="465"/>
      <c r="J76" s="465"/>
      <c r="K76" s="465"/>
      <c r="L76" s="465"/>
      <c r="M76" s="465"/>
      <c r="N76" s="465"/>
      <c r="O76" s="465"/>
      <c r="P76" s="465"/>
      <c r="Q76" s="465"/>
      <c r="R76" s="465"/>
      <c r="S76" s="465"/>
      <c r="T76" s="465"/>
      <c r="U76" s="465"/>
      <c r="V76" s="465"/>
      <c r="W76" s="465"/>
      <c r="X76" s="465"/>
      <c r="Y76" s="465"/>
      <c r="Z76" s="465"/>
      <c r="AA76" s="465"/>
      <c r="AB76" s="465"/>
    </row>
    <row r="77" spans="1:29" ht="15.75">
      <c r="A77" s="642"/>
      <c r="B77" s="622" t="s">
        <v>280</v>
      </c>
      <c r="C77" s="622"/>
      <c r="D77" s="622"/>
      <c r="F77" s="623">
        <v>527536.15541283088</v>
      </c>
      <c r="G77" s="623">
        <v>535923.50234923291</v>
      </c>
      <c r="H77" s="623"/>
      <c r="I77" s="623"/>
      <c r="J77" s="623"/>
      <c r="K77" s="623"/>
      <c r="L77" s="623"/>
      <c r="M77" s="623"/>
      <c r="N77" s="623"/>
      <c r="O77" s="623"/>
      <c r="P77" s="623"/>
      <c r="Q77" s="623"/>
      <c r="R77" s="623"/>
      <c r="S77" s="623"/>
      <c r="T77" s="623"/>
      <c r="U77" s="623"/>
      <c r="V77" s="623"/>
      <c r="W77" s="623"/>
      <c r="X77" s="623"/>
      <c r="Y77" s="623"/>
      <c r="Z77" s="623"/>
      <c r="AA77" s="623"/>
      <c r="AB77" s="623"/>
    </row>
    <row r="79" spans="1:29" ht="15.75">
      <c r="A79" s="622"/>
      <c r="B79" s="622" t="s">
        <v>370</v>
      </c>
      <c r="C79" s="622"/>
      <c r="D79" s="622"/>
      <c r="F79" s="623">
        <v>300248.75066973502</v>
      </c>
      <c r="G79" s="623">
        <v>305740.06757284224</v>
      </c>
      <c r="H79" s="623"/>
      <c r="I79" s="623"/>
      <c r="J79" s="623"/>
      <c r="K79" s="623"/>
      <c r="L79" s="623"/>
      <c r="M79" s="623"/>
      <c r="N79" s="623"/>
      <c r="O79" s="623"/>
      <c r="P79" s="623"/>
      <c r="Q79" s="623"/>
      <c r="R79" s="623"/>
      <c r="S79" s="623"/>
      <c r="T79" s="623"/>
      <c r="U79" s="623"/>
      <c r="V79" s="623"/>
      <c r="W79" s="623"/>
      <c r="X79" s="623"/>
      <c r="Y79" s="623"/>
      <c r="Z79" s="623"/>
      <c r="AA79" s="623"/>
      <c r="AB79" s="623"/>
      <c r="AC79" s="465"/>
    </row>
    <row r="80" spans="1:29">
      <c r="G80" s="465"/>
      <c r="H80" s="465"/>
      <c r="I80" s="465"/>
    </row>
    <row r="81" spans="2:28" s="643" customFormat="1" ht="15.75">
      <c r="B81" s="622" t="s">
        <v>611</v>
      </c>
      <c r="F81" s="644">
        <v>0.46146830970385627</v>
      </c>
      <c r="G81" s="644">
        <v>0.46222924290490736</v>
      </c>
      <c r="H81" s="644"/>
      <c r="I81" s="644"/>
      <c r="J81" s="644"/>
      <c r="K81" s="644"/>
      <c r="L81" s="644"/>
      <c r="M81" s="644"/>
      <c r="N81" s="644"/>
      <c r="O81" s="644"/>
      <c r="P81" s="644"/>
      <c r="Q81" s="644"/>
      <c r="R81" s="644"/>
      <c r="S81" s="644"/>
      <c r="T81" s="644"/>
      <c r="U81" s="644"/>
      <c r="V81" s="644"/>
      <c r="W81" s="644"/>
      <c r="X81" s="644"/>
      <c r="Y81" s="644"/>
      <c r="Z81" s="644"/>
      <c r="AA81" s="644"/>
      <c r="AB81" s="644"/>
    </row>
    <row r="82" spans="2:28">
      <c r="F82" s="465"/>
      <c r="G82" s="465"/>
      <c r="H82" s="465"/>
      <c r="I82" s="465"/>
      <c r="J82" s="465"/>
      <c r="K82" s="465"/>
      <c r="L82" s="465"/>
      <c r="M82" s="465"/>
      <c r="N82" s="465"/>
      <c r="O82" s="465"/>
      <c r="P82" s="465"/>
      <c r="Q82" s="465"/>
      <c r="R82" s="465"/>
      <c r="S82" s="465"/>
      <c r="T82" s="465"/>
      <c r="U82" s="465"/>
      <c r="V82" s="465"/>
      <c r="W82" s="465"/>
      <c r="X82" s="465"/>
      <c r="Y82" s="465"/>
      <c r="Z82" s="465"/>
      <c r="AA82" s="465"/>
      <c r="AB82" s="465"/>
    </row>
    <row r="83" spans="2:28">
      <c r="B83" s="460"/>
      <c r="F83" s="503">
        <v>2022</v>
      </c>
      <c r="G83" s="503">
        <v>2023</v>
      </c>
      <c r="H83" s="503"/>
      <c r="I83" s="503"/>
      <c r="J83" s="503"/>
      <c r="K83" s="503"/>
      <c r="L83" s="503"/>
      <c r="M83" s="503"/>
      <c r="N83" s="503"/>
      <c r="O83" s="503"/>
      <c r="P83" s="503"/>
      <c r="Q83" s="503"/>
      <c r="R83" s="503"/>
      <c r="S83" s="503"/>
      <c r="T83" s="503"/>
      <c r="U83" s="503"/>
      <c r="V83" s="503"/>
      <c r="W83" s="503"/>
      <c r="X83" s="503"/>
      <c r="Y83" s="503"/>
      <c r="Z83" s="503"/>
      <c r="AA83" s="503"/>
      <c r="AB83" s="503"/>
    </row>
    <row r="85" spans="2:28">
      <c r="B85" s="445" t="s">
        <v>374</v>
      </c>
      <c r="F85" s="461">
        <v>511387.34733000002</v>
      </c>
      <c r="G85" s="461">
        <v>519263.51462999999</v>
      </c>
      <c r="H85" s="461"/>
      <c r="I85" s="461"/>
      <c r="J85" s="461"/>
      <c r="K85" s="461"/>
      <c r="L85" s="461"/>
      <c r="M85" s="461"/>
      <c r="N85" s="461"/>
      <c r="O85" s="461"/>
      <c r="P85" s="461"/>
      <c r="Q85" s="461"/>
      <c r="R85" s="461"/>
      <c r="S85" s="461"/>
      <c r="T85" s="461"/>
      <c r="U85" s="461"/>
      <c r="V85" s="461"/>
      <c r="W85" s="461"/>
      <c r="X85" s="461"/>
      <c r="Y85" s="461"/>
      <c r="Z85" s="461"/>
      <c r="AA85" s="461"/>
      <c r="AB85" s="461"/>
    </row>
    <row r="86" spans="2:28">
      <c r="B86" s="445" t="s">
        <v>529</v>
      </c>
      <c r="F86" s="461">
        <v>104245.25732083</v>
      </c>
      <c r="G86" s="461">
        <v>104245.25732083</v>
      </c>
      <c r="H86" s="461"/>
      <c r="I86" s="461"/>
      <c r="J86" s="461"/>
      <c r="K86" s="461"/>
      <c r="L86" s="461"/>
      <c r="M86" s="461"/>
      <c r="N86" s="461"/>
      <c r="O86" s="461"/>
      <c r="P86" s="461"/>
      <c r="Q86" s="461"/>
      <c r="R86" s="461"/>
      <c r="S86" s="461"/>
      <c r="T86" s="461"/>
      <c r="U86" s="461"/>
      <c r="V86" s="461"/>
      <c r="W86" s="461"/>
      <c r="X86" s="461"/>
      <c r="Y86" s="461"/>
      <c r="Z86" s="461"/>
      <c r="AA86" s="461"/>
      <c r="AB86" s="461"/>
    </row>
    <row r="87" spans="2:28">
      <c r="B87" s="445" t="s">
        <v>280</v>
      </c>
      <c r="F87" s="461">
        <v>527536.15541283088</v>
      </c>
      <c r="G87" s="461">
        <v>535923.50234923291</v>
      </c>
      <c r="H87" s="461"/>
      <c r="I87" s="461"/>
      <c r="J87" s="461"/>
      <c r="K87" s="461"/>
      <c r="L87" s="461"/>
      <c r="M87" s="461"/>
      <c r="N87" s="461"/>
      <c r="O87" s="461"/>
      <c r="P87" s="461"/>
      <c r="Q87" s="461"/>
      <c r="R87" s="461"/>
      <c r="S87" s="461"/>
      <c r="T87" s="461"/>
      <c r="U87" s="461"/>
      <c r="V87" s="461"/>
      <c r="W87" s="461"/>
      <c r="X87" s="461"/>
      <c r="Y87" s="461"/>
      <c r="Z87" s="461"/>
      <c r="AA87" s="461"/>
      <c r="AB87" s="461"/>
    </row>
    <row r="88" spans="2:28">
      <c r="F88" s="461"/>
      <c r="G88" s="461"/>
      <c r="H88" s="461"/>
      <c r="I88" s="461"/>
      <c r="J88" s="461"/>
      <c r="K88" s="461"/>
      <c r="L88" s="461"/>
      <c r="M88" s="461"/>
      <c r="N88" s="461"/>
      <c r="O88" s="461"/>
      <c r="P88" s="461"/>
      <c r="Q88" s="461"/>
      <c r="R88" s="461"/>
      <c r="S88" s="461"/>
      <c r="T88" s="461"/>
      <c r="U88" s="461"/>
      <c r="V88" s="461"/>
      <c r="W88" s="461"/>
      <c r="X88" s="461"/>
      <c r="Y88" s="461"/>
      <c r="Z88" s="461"/>
      <c r="AA88" s="461"/>
      <c r="AB88" s="461"/>
    </row>
    <row r="89" spans="2:28">
      <c r="B89" s="460" t="s">
        <v>375</v>
      </c>
      <c r="C89" s="460"/>
      <c r="D89" s="460"/>
      <c r="F89" s="471">
        <v>1143168.7600636608</v>
      </c>
      <c r="G89" s="471">
        <v>1159432.274300063</v>
      </c>
      <c r="H89" s="471"/>
      <c r="I89" s="471"/>
      <c r="J89" s="471"/>
      <c r="K89" s="471"/>
      <c r="L89" s="471"/>
      <c r="M89" s="471"/>
      <c r="N89" s="471"/>
      <c r="O89" s="471"/>
      <c r="P89" s="471"/>
      <c r="Q89" s="471"/>
      <c r="R89" s="471"/>
      <c r="S89" s="471"/>
      <c r="T89" s="471"/>
      <c r="U89" s="471"/>
      <c r="V89" s="471"/>
      <c r="W89" s="471"/>
      <c r="X89" s="471"/>
      <c r="Y89" s="471"/>
      <c r="Z89" s="471"/>
      <c r="AA89" s="471"/>
      <c r="AB89" s="471"/>
    </row>
    <row r="90" spans="2:28">
      <c r="F90" s="465"/>
      <c r="G90" s="465"/>
      <c r="H90" s="465"/>
      <c r="I90" s="465"/>
      <c r="J90" s="465"/>
      <c r="K90" s="465"/>
      <c r="L90" s="465"/>
      <c r="M90" s="465"/>
      <c r="N90" s="465"/>
      <c r="O90" s="465"/>
      <c r="P90" s="465"/>
    </row>
    <row r="92" spans="2:28">
      <c r="B92" s="458"/>
      <c r="C92" s="458"/>
      <c r="D92" s="458"/>
    </row>
    <row r="93" spans="2:28" ht="29.25" customHeight="1">
      <c r="B93" s="645"/>
      <c r="C93" s="645"/>
      <c r="D93" s="645"/>
      <c r="F93" s="503"/>
      <c r="G93" s="503"/>
      <c r="H93" s="503"/>
      <c r="I93" s="503"/>
      <c r="J93" s="503"/>
      <c r="K93" s="503"/>
      <c r="L93" s="503"/>
      <c r="M93" s="503"/>
      <c r="N93" s="503"/>
      <c r="O93" s="503"/>
      <c r="P93" s="503"/>
      <c r="Q93" s="503"/>
      <c r="R93" s="503"/>
      <c r="S93" s="503"/>
      <c r="T93" s="503"/>
      <c r="U93" s="503"/>
      <c r="V93" s="503"/>
      <c r="W93" s="503"/>
      <c r="X93" s="503"/>
      <c r="Y93" s="503"/>
      <c r="Z93" s="503"/>
      <c r="AA93" s="503"/>
      <c r="AB93" s="503"/>
    </row>
    <row r="94" spans="2:28">
      <c r="B94" s="460"/>
      <c r="C94" s="460"/>
      <c r="D94" s="460"/>
      <c r="F94" s="471"/>
      <c r="G94" s="471"/>
      <c r="H94" s="471"/>
      <c r="I94" s="471"/>
      <c r="J94" s="471"/>
      <c r="K94" s="471"/>
      <c r="L94" s="471"/>
      <c r="M94" s="471"/>
      <c r="N94" s="471"/>
      <c r="O94" s="471"/>
      <c r="P94" s="471"/>
      <c r="Q94" s="471"/>
      <c r="R94" s="471"/>
      <c r="S94" s="471"/>
      <c r="T94" s="471"/>
      <c r="U94" s="471"/>
      <c r="V94" s="471"/>
      <c r="W94" s="471"/>
      <c r="X94" s="471"/>
      <c r="Y94" s="471"/>
      <c r="Z94" s="471"/>
      <c r="AA94" s="471"/>
      <c r="AB94" s="471"/>
    </row>
    <row r="95" spans="2:28">
      <c r="F95" s="461"/>
      <c r="G95" s="461"/>
      <c r="H95" s="461"/>
      <c r="I95" s="461"/>
      <c r="J95" s="461"/>
      <c r="K95" s="461"/>
      <c r="L95" s="461"/>
      <c r="M95" s="461"/>
      <c r="N95" s="461"/>
      <c r="O95" s="461"/>
      <c r="P95" s="461"/>
      <c r="Q95" s="461"/>
      <c r="R95" s="461"/>
      <c r="S95" s="461"/>
      <c r="T95" s="461"/>
      <c r="U95" s="461"/>
      <c r="V95" s="461"/>
      <c r="W95" s="461"/>
      <c r="X95" s="461"/>
      <c r="Y95" s="461"/>
      <c r="Z95" s="461"/>
      <c r="AA95" s="461"/>
      <c r="AB95" s="461"/>
    </row>
    <row r="96" spans="2:28">
      <c r="F96" s="461"/>
      <c r="G96" s="461"/>
      <c r="H96" s="461"/>
      <c r="I96" s="461"/>
      <c r="J96" s="461"/>
      <c r="K96" s="461"/>
      <c r="L96" s="461"/>
      <c r="M96" s="461"/>
      <c r="N96" s="461"/>
      <c r="O96" s="461"/>
      <c r="P96" s="461"/>
      <c r="Q96" s="461"/>
      <c r="R96" s="461"/>
      <c r="S96" s="461"/>
      <c r="T96" s="461"/>
      <c r="U96" s="461"/>
      <c r="V96" s="461"/>
      <c r="W96" s="461"/>
      <c r="X96" s="461"/>
      <c r="Y96" s="461"/>
      <c r="Z96" s="461"/>
      <c r="AA96" s="461"/>
      <c r="AB96" s="461"/>
    </row>
    <row r="97" spans="2:30">
      <c r="F97" s="461"/>
      <c r="G97" s="461"/>
      <c r="H97" s="461"/>
      <c r="I97" s="461"/>
      <c r="J97" s="461"/>
      <c r="K97" s="461"/>
      <c r="L97" s="461"/>
      <c r="M97" s="461"/>
      <c r="N97" s="461"/>
      <c r="O97" s="461"/>
      <c r="P97" s="461"/>
      <c r="Q97" s="461"/>
      <c r="R97" s="461"/>
      <c r="S97" s="461"/>
      <c r="T97" s="461"/>
      <c r="U97" s="461"/>
      <c r="V97" s="461"/>
      <c r="W97" s="461"/>
      <c r="X97" s="461"/>
      <c r="Y97" s="461"/>
      <c r="Z97" s="461"/>
      <c r="AA97" s="461"/>
      <c r="AB97" s="461"/>
      <c r="AC97" s="465"/>
    </row>
    <row r="99" spans="2:30">
      <c r="B99" s="460"/>
      <c r="C99" s="460"/>
      <c r="D99" s="460"/>
      <c r="F99" s="471"/>
      <c r="G99" s="471"/>
      <c r="H99" s="471"/>
      <c r="I99" s="471"/>
      <c r="J99" s="471"/>
      <c r="K99" s="471"/>
      <c r="L99" s="471"/>
      <c r="M99" s="471"/>
      <c r="N99" s="471"/>
      <c r="O99" s="471"/>
      <c r="P99" s="471"/>
      <c r="Q99" s="471"/>
      <c r="R99" s="471"/>
      <c r="S99" s="471"/>
      <c r="T99" s="471"/>
      <c r="U99" s="471"/>
      <c r="V99" s="471"/>
      <c r="W99" s="471"/>
      <c r="X99" s="471"/>
      <c r="Y99" s="471"/>
      <c r="Z99" s="471"/>
      <c r="AA99" s="471"/>
      <c r="AB99" s="471"/>
    </row>
    <row r="100" spans="2:30">
      <c r="F100" s="461"/>
      <c r="G100" s="461"/>
      <c r="H100" s="461"/>
      <c r="I100" s="461"/>
      <c r="J100" s="461"/>
      <c r="K100" s="461"/>
      <c r="L100" s="461"/>
      <c r="M100" s="461"/>
      <c r="N100" s="461"/>
      <c r="O100" s="461"/>
      <c r="P100" s="461"/>
      <c r="Q100" s="461"/>
      <c r="R100" s="461"/>
      <c r="S100" s="461"/>
      <c r="T100" s="461"/>
      <c r="U100" s="461"/>
      <c r="V100" s="461"/>
      <c r="W100" s="461"/>
      <c r="X100" s="461"/>
      <c r="Y100" s="461"/>
      <c r="Z100" s="461"/>
      <c r="AA100" s="461"/>
      <c r="AB100" s="461"/>
    </row>
    <row r="101" spans="2:30">
      <c r="F101" s="461"/>
      <c r="G101" s="461"/>
      <c r="H101" s="461"/>
      <c r="I101" s="461"/>
      <c r="J101" s="461"/>
      <c r="K101" s="461"/>
      <c r="L101" s="461"/>
      <c r="M101" s="461"/>
      <c r="N101" s="461"/>
      <c r="O101" s="461"/>
      <c r="P101" s="461"/>
      <c r="Q101" s="461"/>
      <c r="R101" s="461"/>
      <c r="S101" s="461"/>
      <c r="T101" s="461"/>
      <c r="U101" s="461"/>
      <c r="V101" s="461"/>
      <c r="W101" s="461"/>
      <c r="X101" s="461"/>
      <c r="Y101" s="461"/>
      <c r="Z101" s="461"/>
      <c r="AA101" s="461"/>
      <c r="AB101" s="461"/>
    </row>
    <row r="102" spans="2:30">
      <c r="F102" s="461"/>
      <c r="G102" s="461"/>
      <c r="H102" s="461"/>
      <c r="I102" s="461"/>
      <c r="J102" s="461"/>
      <c r="K102" s="461"/>
      <c r="L102" s="461"/>
      <c r="M102" s="461"/>
      <c r="N102" s="461"/>
      <c r="O102" s="461"/>
      <c r="P102" s="461"/>
      <c r="Q102" s="461"/>
      <c r="R102" s="461"/>
      <c r="S102" s="461"/>
      <c r="T102" s="461"/>
      <c r="U102" s="461"/>
      <c r="V102" s="461"/>
      <c r="W102" s="461"/>
      <c r="X102" s="461"/>
      <c r="Y102" s="461"/>
      <c r="Z102" s="461"/>
      <c r="AA102" s="461"/>
      <c r="AB102" s="461"/>
    </row>
    <row r="103" spans="2:30" ht="14.25" customHeight="1">
      <c r="B103" s="550"/>
      <c r="C103" s="550"/>
      <c r="D103" s="550"/>
      <c r="F103" s="461"/>
      <c r="G103" s="461"/>
      <c r="H103" s="461"/>
      <c r="I103" s="461"/>
      <c r="J103" s="461"/>
      <c r="K103" s="461"/>
      <c r="L103" s="461"/>
      <c r="M103" s="461"/>
      <c r="N103" s="461"/>
      <c r="O103" s="461"/>
      <c r="P103" s="461"/>
      <c r="Q103" s="461"/>
      <c r="R103" s="461"/>
      <c r="S103" s="461"/>
      <c r="T103" s="461"/>
      <c r="U103" s="461"/>
      <c r="V103" s="461"/>
      <c r="W103" s="461"/>
      <c r="X103" s="461"/>
      <c r="Y103" s="461"/>
      <c r="Z103" s="461"/>
      <c r="AA103" s="461"/>
      <c r="AB103" s="461"/>
    </row>
    <row r="104" spans="2:30" ht="15.75" customHeight="1">
      <c r="F104" s="461"/>
      <c r="G104" s="461"/>
      <c r="H104" s="461"/>
      <c r="I104" s="461"/>
      <c r="J104" s="461"/>
      <c r="K104" s="461"/>
      <c r="L104" s="461"/>
      <c r="M104" s="461"/>
      <c r="N104" s="461"/>
      <c r="O104" s="461"/>
      <c r="P104" s="461"/>
      <c r="Q104" s="461"/>
      <c r="R104" s="461"/>
      <c r="S104" s="461"/>
      <c r="T104" s="461"/>
      <c r="U104" s="461"/>
      <c r="V104" s="461"/>
      <c r="W104" s="461"/>
      <c r="X104" s="461"/>
      <c r="Y104" s="461"/>
      <c r="Z104" s="461"/>
      <c r="AA104" s="461"/>
      <c r="AB104" s="461"/>
    </row>
    <row r="106" spans="2:30" s="554" customFormat="1">
      <c r="B106" s="552"/>
      <c r="C106" s="552"/>
      <c r="D106" s="552"/>
      <c r="F106" s="553"/>
      <c r="G106" s="553"/>
      <c r="H106" s="553"/>
      <c r="I106" s="553"/>
      <c r="J106" s="553"/>
      <c r="K106" s="553"/>
      <c r="L106" s="553"/>
      <c r="M106" s="553"/>
      <c r="N106" s="553"/>
      <c r="O106" s="553"/>
      <c r="P106" s="553"/>
      <c r="Q106" s="553"/>
      <c r="R106" s="553"/>
      <c r="S106" s="553"/>
      <c r="T106" s="553"/>
      <c r="U106" s="553"/>
      <c r="V106" s="553"/>
      <c r="W106" s="553"/>
      <c r="X106" s="553"/>
      <c r="Y106" s="553"/>
      <c r="Z106" s="553"/>
      <c r="AA106" s="553"/>
      <c r="AB106" s="553"/>
    </row>
    <row r="107" spans="2:30">
      <c r="B107" s="525"/>
      <c r="G107" s="553"/>
      <c r="H107" s="555"/>
      <c r="I107" s="553"/>
      <c r="J107" s="555"/>
      <c r="K107" s="555"/>
      <c r="L107" s="553"/>
      <c r="M107" s="555"/>
      <c r="N107" s="553"/>
      <c r="O107" s="555"/>
      <c r="P107" s="553"/>
      <c r="Q107" s="555"/>
      <c r="R107" s="553"/>
      <c r="S107" s="555"/>
      <c r="T107" s="553"/>
      <c r="U107" s="555"/>
      <c r="V107" s="553"/>
      <c r="W107" s="555"/>
      <c r="X107" s="553"/>
      <c r="Y107" s="555"/>
      <c r="Z107" s="553"/>
      <c r="AA107" s="555"/>
      <c r="AB107" s="553"/>
      <c r="AC107" s="555"/>
      <c r="AD107" s="555"/>
    </row>
    <row r="110" spans="2:30" ht="15.75" customHeight="1">
      <c r="B110" s="645"/>
      <c r="C110" s="645"/>
      <c r="D110" s="645"/>
      <c r="F110" s="503"/>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row>
    <row r="111" spans="2:30">
      <c r="B111" s="460"/>
      <c r="C111" s="460"/>
      <c r="D111" s="460"/>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row>
    <row r="112" spans="2:30">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row>
    <row r="113" spans="2:29">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row>
    <row r="114" spans="2:29">
      <c r="F114" s="461"/>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5"/>
    </row>
    <row r="116" spans="2:29">
      <c r="B116" s="460"/>
      <c r="C116" s="460"/>
      <c r="D116" s="460"/>
      <c r="F116" s="471"/>
      <c r="G116" s="471"/>
      <c r="H116" s="471"/>
      <c r="I116" s="471"/>
      <c r="J116" s="471"/>
      <c r="K116" s="471"/>
      <c r="L116" s="471"/>
      <c r="M116" s="471"/>
      <c r="N116" s="471"/>
      <c r="O116" s="471"/>
      <c r="P116" s="471"/>
      <c r="Q116" s="471"/>
      <c r="R116" s="471"/>
      <c r="S116" s="471"/>
      <c r="T116" s="471"/>
      <c r="U116" s="471"/>
      <c r="V116" s="471"/>
      <c r="W116" s="471"/>
      <c r="X116" s="471"/>
      <c r="Y116" s="471"/>
      <c r="Z116" s="471"/>
      <c r="AA116" s="471"/>
      <c r="AB116" s="471"/>
    </row>
    <row r="117" spans="2:29">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row>
    <row r="118" spans="2:29">
      <c r="F118" s="461"/>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row>
    <row r="119" spans="2:29">
      <c r="F119" s="461"/>
      <c r="G119" s="461"/>
      <c r="H119" s="461"/>
      <c r="I119" s="461"/>
      <c r="J119" s="461"/>
      <c r="K119" s="461"/>
      <c r="L119" s="461"/>
      <c r="M119" s="461"/>
      <c r="N119" s="461"/>
      <c r="O119" s="461"/>
      <c r="P119" s="461"/>
      <c r="Q119" s="461"/>
      <c r="R119" s="461"/>
      <c r="S119" s="461"/>
      <c r="T119" s="461"/>
      <c r="U119" s="461"/>
      <c r="V119" s="461"/>
      <c r="W119" s="461"/>
      <c r="X119" s="461"/>
      <c r="Y119" s="461"/>
      <c r="Z119" s="461"/>
      <c r="AA119" s="461"/>
      <c r="AB119" s="461"/>
    </row>
    <row r="120" spans="2:29" ht="14.25" customHeight="1">
      <c r="B120" s="550"/>
      <c r="C120" s="550"/>
      <c r="D120" s="550"/>
      <c r="F120" s="461"/>
      <c r="G120" s="461"/>
      <c r="H120" s="461"/>
      <c r="I120" s="461"/>
      <c r="J120" s="461"/>
      <c r="K120" s="461"/>
      <c r="L120" s="461"/>
      <c r="M120" s="461"/>
      <c r="N120" s="461"/>
      <c r="O120" s="461"/>
      <c r="P120" s="461"/>
      <c r="Q120" s="461"/>
      <c r="R120" s="461"/>
      <c r="S120" s="461"/>
      <c r="T120" s="461"/>
      <c r="U120" s="461"/>
      <c r="V120" s="461"/>
      <c r="W120" s="461"/>
      <c r="X120" s="461"/>
      <c r="Y120" s="461"/>
      <c r="Z120" s="461"/>
      <c r="AA120" s="461"/>
      <c r="AB120" s="461"/>
    </row>
    <row r="121" spans="2:29">
      <c r="F121" s="461"/>
      <c r="G121" s="461"/>
      <c r="H121" s="461"/>
      <c r="I121" s="461"/>
      <c r="J121" s="461"/>
      <c r="K121" s="461"/>
      <c r="L121" s="461"/>
      <c r="M121" s="461"/>
      <c r="N121" s="461"/>
      <c r="O121" s="461"/>
      <c r="P121" s="461"/>
      <c r="Q121" s="461"/>
      <c r="R121" s="461"/>
      <c r="S121" s="461"/>
      <c r="T121" s="461"/>
      <c r="U121" s="461"/>
      <c r="V121" s="461"/>
      <c r="W121" s="461"/>
      <c r="X121" s="461"/>
      <c r="Y121" s="461"/>
      <c r="Z121" s="461"/>
      <c r="AA121" s="461"/>
      <c r="AB121" s="461"/>
    </row>
    <row r="123" spans="2:29">
      <c r="B123" s="552"/>
      <c r="C123" s="552"/>
      <c r="D123" s="552"/>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465"/>
    </row>
    <row r="124" spans="2:29">
      <c r="B124" s="525"/>
      <c r="G124" s="553"/>
      <c r="H124" s="488"/>
      <c r="I124" s="553"/>
      <c r="J124" s="488"/>
      <c r="K124" s="488"/>
      <c r="L124" s="553"/>
      <c r="M124" s="488"/>
      <c r="N124" s="553"/>
      <c r="O124" s="488"/>
      <c r="P124" s="553"/>
      <c r="Q124" s="488"/>
      <c r="R124" s="553"/>
      <c r="S124" s="488"/>
      <c r="T124" s="553"/>
      <c r="U124" s="488"/>
      <c r="V124" s="553"/>
      <c r="W124" s="488"/>
      <c r="X124" s="553"/>
      <c r="Y124" s="488"/>
      <c r="Z124" s="553"/>
      <c r="AA124" s="488"/>
      <c r="AB124" s="553"/>
      <c r="AC124" s="469"/>
    </row>
    <row r="125" spans="2:29">
      <c r="F125" s="461"/>
      <c r="G125" s="488"/>
      <c r="H125" s="461"/>
      <c r="I125" s="488"/>
      <c r="J125" s="461"/>
      <c r="K125" s="461"/>
      <c r="L125" s="488"/>
      <c r="M125" s="461"/>
      <c r="N125" s="488"/>
      <c r="O125" s="461"/>
      <c r="P125" s="488"/>
      <c r="Q125" s="461"/>
      <c r="R125" s="488"/>
      <c r="S125" s="461"/>
      <c r="T125" s="488"/>
      <c r="U125" s="461"/>
      <c r="V125" s="488"/>
      <c r="W125" s="461"/>
      <c r="X125" s="488"/>
      <c r="Y125" s="461"/>
      <c r="Z125" s="488"/>
      <c r="AA125" s="461"/>
      <c r="AB125" s="488"/>
    </row>
    <row r="126" spans="2:29" ht="14.25" customHeight="1">
      <c r="C126" s="624"/>
      <c r="D126" s="624"/>
      <c r="E126" s="624"/>
      <c r="F126" s="461"/>
      <c r="G126" s="461"/>
      <c r="H126" s="461"/>
      <c r="I126" s="461"/>
      <c r="J126" s="461"/>
      <c r="K126" s="461"/>
      <c r="L126" s="461"/>
      <c r="M126" s="461"/>
      <c r="N126" s="461"/>
      <c r="O126" s="461"/>
      <c r="P126" s="461"/>
      <c r="Q126" s="461"/>
      <c r="R126" s="461"/>
      <c r="S126" s="461"/>
      <c r="T126" s="461"/>
      <c r="U126" s="461"/>
      <c r="V126" s="461"/>
      <c r="W126" s="461"/>
      <c r="X126" s="461"/>
      <c r="Y126" s="461"/>
      <c r="Z126" s="461"/>
      <c r="AA126" s="461"/>
      <c r="AB126" s="461"/>
      <c r="AC126" s="465"/>
    </row>
    <row r="127" spans="2:29" ht="14.25" customHeight="1">
      <c r="C127" s="550"/>
      <c r="D127" s="550"/>
      <c r="E127" s="550"/>
      <c r="F127" s="470"/>
      <c r="G127" s="470"/>
      <c r="H127" s="470"/>
      <c r="I127" s="470"/>
      <c r="J127" s="470"/>
      <c r="K127" s="470"/>
      <c r="L127" s="470"/>
      <c r="M127" s="470"/>
      <c r="N127" s="470"/>
      <c r="O127" s="470"/>
      <c r="P127" s="470"/>
      <c r="Q127" s="470"/>
      <c r="R127" s="470"/>
      <c r="S127" s="470"/>
      <c r="T127" s="470"/>
      <c r="U127" s="470"/>
      <c r="V127" s="470"/>
      <c r="W127" s="470"/>
      <c r="X127" s="470"/>
      <c r="Y127" s="470"/>
      <c r="Z127" s="470"/>
      <c r="AA127" s="470"/>
      <c r="AB127" s="470"/>
    </row>
    <row r="128" spans="2:29" ht="14.25" customHeight="1">
      <c r="C128" s="550"/>
      <c r="D128" s="550"/>
      <c r="E128" s="550"/>
      <c r="F128" s="625"/>
      <c r="G128" s="625"/>
      <c r="H128" s="625"/>
      <c r="I128" s="625"/>
      <c r="J128" s="625"/>
      <c r="K128" s="625"/>
      <c r="L128" s="625"/>
      <c r="M128" s="625"/>
      <c r="N128" s="625"/>
      <c r="O128" s="625"/>
      <c r="P128" s="625"/>
      <c r="Q128" s="625"/>
      <c r="R128" s="625"/>
      <c r="S128" s="625"/>
      <c r="T128" s="625"/>
      <c r="U128" s="625"/>
      <c r="V128" s="625"/>
      <c r="W128" s="625"/>
      <c r="X128" s="625"/>
      <c r="Y128" s="625"/>
      <c r="Z128" s="625"/>
      <c r="AA128" s="625"/>
      <c r="AB128" s="625"/>
    </row>
    <row r="129" spans="2:30">
      <c r="B129" s="624"/>
      <c r="F129" s="461"/>
      <c r="G129" s="470"/>
      <c r="H129" s="470"/>
      <c r="I129" s="461"/>
      <c r="J129" s="461"/>
      <c r="K129" s="461"/>
      <c r="L129" s="461"/>
      <c r="M129" s="461"/>
      <c r="N129" s="461"/>
      <c r="O129" s="461"/>
      <c r="P129" s="461"/>
      <c r="Q129" s="461"/>
      <c r="R129" s="461"/>
      <c r="S129" s="461"/>
      <c r="T129" s="461"/>
      <c r="U129" s="461"/>
      <c r="V129" s="461"/>
      <c r="W129" s="461"/>
      <c r="X129" s="461"/>
      <c r="Y129" s="461"/>
      <c r="Z129" s="461"/>
      <c r="AA129" s="461"/>
      <c r="AB129" s="461"/>
      <c r="AC129" s="470"/>
      <c r="AD129" s="470"/>
    </row>
    <row r="130" spans="2:30">
      <c r="B130" s="624"/>
      <c r="F130" s="465"/>
      <c r="G130" s="465"/>
      <c r="H130" s="465"/>
      <c r="I130" s="465"/>
      <c r="J130" s="465"/>
      <c r="K130" s="465"/>
      <c r="L130" s="465"/>
      <c r="M130" s="465"/>
      <c r="N130" s="465"/>
      <c r="O130" s="465"/>
      <c r="P130" s="465"/>
      <c r="Q130" s="465"/>
      <c r="R130" s="465"/>
      <c r="S130" s="465"/>
      <c r="T130" s="465"/>
      <c r="U130" s="465"/>
      <c r="V130" s="465"/>
      <c r="W130" s="465"/>
      <c r="X130" s="465"/>
      <c r="Y130" s="465"/>
      <c r="Z130" s="465"/>
      <c r="AA130" s="465"/>
      <c r="AB130" s="465"/>
    </row>
    <row r="131" spans="2:30">
      <c r="D131" s="460"/>
      <c r="E131" s="460"/>
      <c r="F131" s="560"/>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row>
    <row r="132" spans="2:30">
      <c r="E132" s="460"/>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row>
    <row r="133" spans="2:30">
      <c r="F133" s="469"/>
      <c r="G133" s="469"/>
      <c r="H133" s="469"/>
      <c r="I133" s="469"/>
      <c r="J133" s="469"/>
      <c r="K133" s="469"/>
    </row>
    <row r="142" spans="2:30">
      <c r="G142" s="524"/>
      <c r="H142" s="465"/>
      <c r="I142" s="465"/>
    </row>
    <row r="146" spans="8:9">
      <c r="H146" s="461"/>
      <c r="I146" s="461"/>
    </row>
    <row r="147" spans="8:9">
      <c r="H147" s="465"/>
      <c r="I147" s="465"/>
    </row>
  </sheetData>
  <customSheetViews>
    <customSheetView guid="{2226E858-00AE-4A92-8CF6-5B54D2FA62D4}" showPageBreaks="1" fitToPage="1">
      <selection activeCell="E8" sqref="E8"/>
      <pageMargins left="0.25" right="0.25" top="0.75" bottom="0.75" header="0.3" footer="0.3"/>
      <pageSetup scale="19" orientation="portrait" r:id="rId1"/>
    </customSheetView>
  </customSheetViews>
  <mergeCells count="9">
    <mergeCell ref="B129:B130"/>
    <mergeCell ref="A1:M1"/>
    <mergeCell ref="F3:M4"/>
    <mergeCell ref="H5:AB5"/>
    <mergeCell ref="F5:G5"/>
    <mergeCell ref="C126:E126"/>
    <mergeCell ref="A41:C41"/>
    <mergeCell ref="A6:C6"/>
    <mergeCell ref="C7:E7"/>
  </mergeCells>
  <conditionalFormatting sqref="F75:AB75">
    <cfRule type="cellIs" dxfId="2" priority="4" operator="greaterThan">
      <formula>0</formula>
    </cfRule>
    <cfRule type="expression" priority="5">
      <formula>"&gt;0"</formula>
    </cfRule>
  </conditionalFormatting>
  <conditionalFormatting sqref="A125:XFD125">
    <cfRule type="cellIs" dxfId="1" priority="3" operator="greaterThan">
      <formula>0</formula>
    </cfRule>
  </conditionalFormatting>
  <pageMargins left="0.25" right="0.25" top="0.75" bottom="0.75" header="0.3" footer="0.3"/>
  <pageSetup scale="16"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AM43"/>
  <sheetViews>
    <sheetView tabSelected="1" zoomScale="85" zoomScaleNormal="85" workbookViewId="0">
      <selection activeCell="S26" sqref="S26"/>
    </sheetView>
  </sheetViews>
  <sheetFormatPr defaultColWidth="9.140625" defaultRowHeight="14.25" outlineLevelRow="1" outlineLevelCol="1"/>
  <cols>
    <col min="1" max="1" width="20.42578125" style="566" customWidth="1"/>
    <col min="2" max="2" width="35.140625" style="566" customWidth="1"/>
    <col min="3" max="3" width="11.7109375" style="566" hidden="1" customWidth="1" outlineLevel="1"/>
    <col min="4" max="4" width="14.7109375" style="566" hidden="1" customWidth="1" outlineLevel="1"/>
    <col min="5" max="5" width="11.140625" style="566" hidden="1" customWidth="1" outlineLevel="1"/>
    <col min="6" max="6" width="11.7109375" style="566" hidden="1" customWidth="1" outlineLevel="1"/>
    <col min="7" max="12" width="13.28515625" style="566" hidden="1" customWidth="1" outlineLevel="1"/>
    <col min="13" max="13" width="25" style="566" bestFit="1" customWidth="1" collapsed="1"/>
    <col min="14" max="15" width="12.28515625" style="566" bestFit="1" customWidth="1"/>
    <col min="16" max="16" width="11.28515625" style="566" customWidth="1"/>
    <col min="17" max="23" width="12.28515625" style="566" bestFit="1" customWidth="1"/>
    <col min="24" max="24" width="13.140625" style="566" bestFit="1" customWidth="1"/>
    <col min="25" max="25" width="12.28515625" style="566" bestFit="1" customWidth="1"/>
    <col min="26" max="27" width="13.140625" style="566" bestFit="1" customWidth="1"/>
    <col min="28" max="36" width="15.42578125" style="566" bestFit="1" customWidth="1"/>
    <col min="37" max="37" width="12.28515625" style="566" bestFit="1" customWidth="1"/>
    <col min="38" max="38" width="12.7109375" style="567" bestFit="1" customWidth="1"/>
    <col min="39" max="39" width="9.85546875" style="566" bestFit="1" customWidth="1"/>
    <col min="40" max="16384" width="9.140625" style="566"/>
  </cols>
  <sheetData>
    <row r="1" spans="1:39" ht="18">
      <c r="A1" s="676" t="s">
        <v>655</v>
      </c>
      <c r="B1" s="676"/>
      <c r="C1" s="676"/>
      <c r="D1" s="676"/>
      <c r="E1" s="676"/>
      <c r="F1" s="676"/>
      <c r="G1" s="676"/>
      <c r="H1" s="676"/>
      <c r="I1" s="676"/>
      <c r="J1" s="676"/>
      <c r="K1" s="676"/>
      <c r="L1" s="676"/>
      <c r="M1" s="676"/>
      <c r="N1" s="676"/>
      <c r="O1" s="676"/>
    </row>
    <row r="2" spans="1:39" outlineLevel="1">
      <c r="A2" s="677"/>
      <c r="B2" s="563"/>
      <c r="C2" s="564"/>
      <c r="D2" s="565"/>
      <c r="H2" s="565" t="s">
        <v>377</v>
      </c>
      <c r="L2" s="565" t="s">
        <v>380</v>
      </c>
    </row>
    <row r="3" spans="1:39" outlineLevel="1">
      <c r="A3" s="677"/>
      <c r="B3" s="567"/>
      <c r="D3" s="449" t="s">
        <v>348</v>
      </c>
      <c r="H3" s="678" t="s">
        <v>66</v>
      </c>
      <c r="I3" s="565" t="s">
        <v>191</v>
      </c>
      <c r="L3" s="568" t="s">
        <v>366</v>
      </c>
    </row>
    <row r="4" spans="1:39" outlineLevel="1">
      <c r="A4" s="677" t="s">
        <v>131</v>
      </c>
      <c r="B4" s="679">
        <v>0.03</v>
      </c>
      <c r="D4" s="449" t="s">
        <v>343</v>
      </c>
      <c r="H4" s="569"/>
      <c r="I4" s="445" t="s">
        <v>491</v>
      </c>
      <c r="L4" s="566" t="s">
        <v>382</v>
      </c>
    </row>
    <row r="5" spans="1:39" ht="15" customHeight="1" outlineLevel="1">
      <c r="A5" s="678" t="s">
        <v>71</v>
      </c>
      <c r="B5" s="567">
        <v>0.65</v>
      </c>
      <c r="D5" s="449" t="s">
        <v>342</v>
      </c>
      <c r="H5" s="569"/>
      <c r="I5" s="445" t="s">
        <v>621</v>
      </c>
      <c r="L5" s="565" t="s">
        <v>377</v>
      </c>
    </row>
    <row r="6" spans="1:39" outlineLevel="1">
      <c r="A6" s="678"/>
      <c r="B6" s="567"/>
      <c r="C6" s="570"/>
      <c r="D6" s="449" t="s">
        <v>182</v>
      </c>
      <c r="H6" s="569"/>
      <c r="I6" s="445" t="s">
        <v>513</v>
      </c>
      <c r="L6" s="678" t="s">
        <v>66</v>
      </c>
      <c r="M6" s="565"/>
    </row>
    <row r="7" spans="1:39" ht="22.5" customHeight="1" outlineLevel="1">
      <c r="A7" s="678" t="s">
        <v>13</v>
      </c>
      <c r="B7" s="567">
        <v>2022</v>
      </c>
      <c r="C7" s="567"/>
      <c r="D7" s="684"/>
      <c r="E7" s="684"/>
      <c r="F7" s="684"/>
      <c r="G7" s="684"/>
      <c r="H7" s="684"/>
      <c r="I7" s="684"/>
      <c r="J7" s="684"/>
      <c r="K7" s="684"/>
      <c r="L7" s="684"/>
      <c r="M7" s="684"/>
      <c r="N7" s="684"/>
      <c r="O7" s="684"/>
    </row>
    <row r="8" spans="1:39" ht="22.5" customHeight="1" outlineLevel="1">
      <c r="A8" s="678" t="s">
        <v>14</v>
      </c>
      <c r="B8" s="567">
        <v>2032</v>
      </c>
      <c r="C8" s="567"/>
      <c r="D8" s="684"/>
      <c r="E8" s="684"/>
      <c r="F8" s="684"/>
      <c r="G8" s="684"/>
      <c r="H8" s="684"/>
      <c r="I8" s="684"/>
      <c r="J8" s="684"/>
      <c r="K8" s="684"/>
      <c r="L8" s="684"/>
      <c r="M8" s="684"/>
      <c r="N8" s="684"/>
      <c r="O8" s="684"/>
    </row>
    <row r="9" spans="1:39">
      <c r="C9" s="566">
        <v>2011</v>
      </c>
      <c r="D9" s="566">
        <v>2012</v>
      </c>
      <c r="E9" s="566">
        <v>2013</v>
      </c>
      <c r="F9" s="566">
        <v>2014</v>
      </c>
      <c r="G9" s="566">
        <v>2015</v>
      </c>
      <c r="H9" s="566">
        <v>2016</v>
      </c>
      <c r="I9" s="566">
        <v>2017</v>
      </c>
      <c r="J9" s="566">
        <v>2018</v>
      </c>
      <c r="K9" s="566">
        <v>2019</v>
      </c>
      <c r="N9" s="566">
        <v>2022</v>
      </c>
      <c r="O9" s="566">
        <v>2023</v>
      </c>
    </row>
    <row r="10" spans="1:39">
      <c r="A10" s="571"/>
      <c r="B10" s="571"/>
      <c r="C10" s="572" t="s">
        <v>361</v>
      </c>
      <c r="D10" s="572"/>
      <c r="E10" s="572"/>
      <c r="F10" s="572"/>
      <c r="G10" s="572"/>
      <c r="H10" s="572"/>
      <c r="I10" s="572"/>
      <c r="J10" s="572" t="s">
        <v>317</v>
      </c>
      <c r="K10" s="572"/>
      <c r="L10" s="572"/>
      <c r="M10" s="572"/>
      <c r="N10" s="572" t="s">
        <v>319</v>
      </c>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row>
    <row r="11" spans="1:39">
      <c r="A11" s="573"/>
      <c r="B11" s="574"/>
      <c r="C11" s="574">
        <v>2011</v>
      </c>
      <c r="D11" s="574">
        <v>2012</v>
      </c>
      <c r="E11" s="574">
        <v>2013</v>
      </c>
      <c r="F11" s="574">
        <v>2014</v>
      </c>
      <c r="G11" s="574">
        <v>2015</v>
      </c>
      <c r="H11" s="574">
        <v>2016</v>
      </c>
      <c r="I11" s="574">
        <v>2017</v>
      </c>
      <c r="J11" s="574">
        <v>2018</v>
      </c>
      <c r="K11" s="574">
        <v>2019</v>
      </c>
      <c r="L11" s="574"/>
      <c r="M11" s="574"/>
      <c r="N11" s="574">
        <v>2022</v>
      </c>
      <c r="O11" s="574">
        <v>2023</v>
      </c>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63"/>
    </row>
    <row r="12" spans="1:39">
      <c r="A12" s="565" t="s">
        <v>123</v>
      </c>
      <c r="F12" s="574"/>
      <c r="I12" s="499"/>
      <c r="J12" s="499"/>
      <c r="K12" s="499"/>
      <c r="L12" s="499"/>
      <c r="M12" s="499"/>
      <c r="N12" s="683"/>
      <c r="O12" s="683"/>
      <c r="P12" s="683"/>
      <c r="Q12" s="683"/>
      <c r="R12" s="683"/>
      <c r="S12" s="683"/>
      <c r="T12" s="683"/>
      <c r="U12" s="683"/>
      <c r="V12" s="683"/>
      <c r="W12" s="683"/>
      <c r="X12" s="683"/>
      <c r="Y12" s="575"/>
      <c r="Z12" s="575"/>
      <c r="AA12" s="575"/>
      <c r="AB12" s="575"/>
      <c r="AC12" s="575"/>
      <c r="AD12" s="575"/>
      <c r="AE12" s="575"/>
      <c r="AF12" s="575"/>
      <c r="AG12" s="575"/>
      <c r="AH12" s="575"/>
      <c r="AI12" s="575"/>
      <c r="AJ12" s="575"/>
      <c r="AK12" s="575"/>
    </row>
    <row r="13" spans="1:39">
      <c r="A13" s="576" t="s">
        <v>129</v>
      </c>
      <c r="F13" s="499"/>
      <c r="G13" s="499"/>
      <c r="H13" s="499"/>
      <c r="I13" s="499"/>
      <c r="J13" s="577"/>
      <c r="K13" s="500"/>
      <c r="L13" s="500"/>
      <c r="M13" s="500"/>
      <c r="N13" s="500">
        <v>485803.6721263802</v>
      </c>
      <c r="O13" s="500">
        <v>503300.28639935597</v>
      </c>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78"/>
    </row>
    <row r="14" spans="1:39">
      <c r="A14" s="576" t="s">
        <v>124</v>
      </c>
      <c r="F14" s="499"/>
      <c r="G14" s="499"/>
      <c r="H14" s="499"/>
      <c r="I14" s="499"/>
      <c r="J14" s="577"/>
      <c r="K14" s="499"/>
      <c r="L14" s="499"/>
      <c r="M14" s="499"/>
      <c r="N14" s="499">
        <v>491108.69919818494</v>
      </c>
      <c r="O14" s="499">
        <v>517997.89086683904</v>
      </c>
      <c r="P14" s="499"/>
      <c r="Q14" s="499"/>
      <c r="R14" s="499"/>
      <c r="S14" s="499"/>
      <c r="T14" s="499"/>
      <c r="U14" s="499"/>
      <c r="V14" s="499"/>
      <c r="W14" s="499"/>
      <c r="X14" s="499"/>
      <c r="Y14" s="499"/>
      <c r="Z14" s="499"/>
      <c r="AA14" s="499"/>
      <c r="AB14" s="499"/>
      <c r="AC14" s="499"/>
      <c r="AD14" s="499"/>
      <c r="AE14" s="499"/>
      <c r="AF14" s="499"/>
      <c r="AG14" s="499"/>
      <c r="AH14" s="499"/>
      <c r="AI14" s="499"/>
      <c r="AJ14" s="499"/>
      <c r="AK14" s="499"/>
    </row>
    <row r="15" spans="1:39">
      <c r="A15" s="576" t="s">
        <v>125</v>
      </c>
      <c r="F15" s="499"/>
      <c r="G15" s="577"/>
      <c r="H15" s="577"/>
      <c r="I15" s="577"/>
      <c r="J15" s="577"/>
      <c r="K15" s="577"/>
      <c r="L15" s="577"/>
      <c r="M15" s="577"/>
      <c r="N15" s="577">
        <v>608313.72638000001</v>
      </c>
      <c r="O15" s="577">
        <v>603008.69930819527</v>
      </c>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8"/>
      <c r="AM15" s="577"/>
    </row>
    <row r="16" spans="1:39">
      <c r="A16" s="576" t="s">
        <v>126</v>
      </c>
      <c r="E16" s="499"/>
      <c r="F16" s="499"/>
      <c r="G16" s="499"/>
      <c r="H16" s="579"/>
      <c r="I16" s="499"/>
      <c r="J16" s="499"/>
      <c r="K16" s="577"/>
      <c r="L16" s="577"/>
      <c r="M16" s="577"/>
      <c r="N16" s="577">
        <v>603008.69930819527</v>
      </c>
      <c r="O16" s="577">
        <v>588311.09484071215</v>
      </c>
      <c r="P16" s="577"/>
      <c r="Q16" s="577"/>
      <c r="R16" s="577"/>
      <c r="S16" s="577"/>
      <c r="T16" s="577"/>
      <c r="U16" s="577"/>
      <c r="V16" s="577"/>
      <c r="W16" s="577"/>
      <c r="X16" s="577"/>
      <c r="Y16" s="577"/>
      <c r="Z16" s="577"/>
      <c r="AA16" s="577"/>
      <c r="AB16" s="577"/>
      <c r="AC16" s="577"/>
      <c r="AD16" s="577"/>
      <c r="AE16" s="577"/>
      <c r="AF16" s="577"/>
      <c r="AG16" s="577"/>
      <c r="AH16" s="577"/>
      <c r="AI16" s="577"/>
      <c r="AJ16" s="577"/>
      <c r="AK16" s="577"/>
    </row>
    <row r="17" spans="1:38">
      <c r="A17" s="576" t="s">
        <v>127</v>
      </c>
      <c r="F17" s="499"/>
      <c r="G17" s="499"/>
      <c r="H17" s="499"/>
      <c r="I17" s="499"/>
      <c r="J17" s="499"/>
      <c r="K17" s="499"/>
      <c r="L17" s="499"/>
      <c r="M17" s="499"/>
      <c r="N17" s="499">
        <v>605661.21284409764</v>
      </c>
      <c r="O17" s="499">
        <v>595659.89707445377</v>
      </c>
      <c r="P17" s="499"/>
      <c r="Q17" s="499"/>
      <c r="R17" s="499"/>
      <c r="S17" s="499"/>
      <c r="T17" s="499"/>
      <c r="U17" s="499"/>
      <c r="V17" s="499"/>
      <c r="W17" s="499"/>
      <c r="X17" s="499"/>
      <c r="Y17" s="499"/>
      <c r="Z17" s="499"/>
      <c r="AA17" s="499"/>
      <c r="AB17" s="499"/>
      <c r="AC17" s="499"/>
      <c r="AD17" s="499"/>
      <c r="AE17" s="499"/>
      <c r="AF17" s="499"/>
      <c r="AG17" s="499"/>
      <c r="AH17" s="499"/>
      <c r="AI17" s="499"/>
      <c r="AJ17" s="499"/>
      <c r="AK17" s="499"/>
    </row>
    <row r="18" spans="1:38">
      <c r="A18" s="576"/>
    </row>
    <row r="19" spans="1:38">
      <c r="A19" s="576" t="s">
        <v>128</v>
      </c>
      <c r="E19" s="580"/>
      <c r="G19" s="581"/>
      <c r="I19" s="581"/>
      <c r="J19" s="581"/>
      <c r="K19" s="581"/>
      <c r="L19" s="581"/>
      <c r="M19" s="581"/>
      <c r="N19" s="581">
        <v>2.6100000000000002E-2</v>
      </c>
      <c r="O19" s="581">
        <v>2.6600000000000002E-2</v>
      </c>
      <c r="P19" s="581"/>
      <c r="Q19" s="581"/>
      <c r="R19" s="581"/>
      <c r="S19" s="581"/>
      <c r="T19" s="581"/>
      <c r="U19" s="581"/>
      <c r="V19" s="581"/>
      <c r="W19" s="581"/>
      <c r="X19" s="581"/>
      <c r="Y19" s="581"/>
      <c r="Z19" s="581"/>
      <c r="AA19" s="581"/>
      <c r="AB19" s="581"/>
      <c r="AC19" s="581"/>
      <c r="AD19" s="581"/>
      <c r="AE19" s="581"/>
      <c r="AF19" s="581"/>
      <c r="AG19" s="581"/>
      <c r="AH19" s="581"/>
      <c r="AI19" s="581"/>
      <c r="AJ19" s="581"/>
      <c r="AK19" s="581"/>
    </row>
    <row r="20" spans="1:38">
      <c r="A20" s="582" t="s">
        <v>492</v>
      </c>
      <c r="E20" s="581"/>
      <c r="G20" s="581"/>
      <c r="I20" s="581"/>
      <c r="J20" s="581"/>
      <c r="K20" s="581"/>
      <c r="L20" s="581"/>
      <c r="M20" s="581"/>
      <c r="N20" s="581">
        <v>5.0000000000000001E-4</v>
      </c>
      <c r="O20" s="581">
        <v>5.0000000000000001E-4</v>
      </c>
      <c r="P20" s="581"/>
      <c r="Q20" s="581"/>
      <c r="R20" s="581"/>
      <c r="S20" s="581"/>
      <c r="T20" s="581"/>
      <c r="U20" s="581"/>
      <c r="V20" s="581"/>
      <c r="W20" s="581"/>
      <c r="X20" s="581"/>
      <c r="Y20" s="581"/>
      <c r="Z20" s="581"/>
      <c r="AA20" s="581"/>
      <c r="AB20" s="581"/>
      <c r="AC20" s="581"/>
      <c r="AD20" s="581"/>
      <c r="AE20" s="581"/>
      <c r="AF20" s="581"/>
      <c r="AG20" s="581"/>
      <c r="AH20" s="581"/>
      <c r="AI20" s="581"/>
      <c r="AJ20" s="581"/>
      <c r="AK20" s="581"/>
    </row>
    <row r="21" spans="1:38">
      <c r="A21" s="576" t="s">
        <v>88</v>
      </c>
      <c r="C21" s="499"/>
      <c r="G21" s="499"/>
      <c r="I21" s="499"/>
      <c r="J21" s="499"/>
      <c r="K21" s="499"/>
      <c r="L21" s="499"/>
      <c r="M21" s="499"/>
      <c r="N21" s="499">
        <v>15807.757655230949</v>
      </c>
      <c r="O21" s="499">
        <v>15844.553262180472</v>
      </c>
      <c r="P21" s="499"/>
      <c r="Q21" s="499"/>
      <c r="R21" s="499"/>
      <c r="S21" s="499"/>
      <c r="T21" s="499"/>
      <c r="U21" s="499"/>
      <c r="V21" s="499"/>
      <c r="W21" s="499"/>
      <c r="X21" s="499"/>
      <c r="Y21" s="499"/>
      <c r="Z21" s="499"/>
      <c r="AA21" s="499"/>
      <c r="AB21" s="499"/>
      <c r="AC21" s="499"/>
      <c r="AD21" s="499"/>
      <c r="AE21" s="499"/>
      <c r="AF21" s="499"/>
      <c r="AG21" s="499"/>
      <c r="AH21" s="499"/>
      <c r="AI21" s="499"/>
      <c r="AJ21" s="499"/>
      <c r="AK21" s="499"/>
    </row>
    <row r="22" spans="1:38">
      <c r="D22" s="499"/>
      <c r="E22" s="499"/>
    </row>
    <row r="23" spans="1:38">
      <c r="A23" s="576" t="s">
        <v>493</v>
      </c>
      <c r="I23" s="499"/>
      <c r="J23" s="499"/>
      <c r="K23" s="499"/>
      <c r="L23" s="499"/>
      <c r="M23" s="499"/>
      <c r="N23" s="499">
        <v>4958.2</v>
      </c>
      <c r="O23" s="499">
        <v>7948.2</v>
      </c>
      <c r="P23" s="499"/>
      <c r="Q23" s="499"/>
      <c r="R23" s="499"/>
      <c r="S23" s="499"/>
      <c r="T23" s="499"/>
      <c r="U23" s="499"/>
      <c r="V23" s="499"/>
      <c r="W23" s="499"/>
      <c r="X23" s="499"/>
      <c r="Y23" s="499"/>
      <c r="Z23" s="499"/>
      <c r="AA23" s="499"/>
      <c r="AB23" s="499"/>
      <c r="AC23" s="499"/>
      <c r="AD23" s="499"/>
      <c r="AE23" s="499"/>
      <c r="AF23" s="499"/>
      <c r="AG23" s="499"/>
      <c r="AH23" s="499"/>
      <c r="AI23" s="499"/>
      <c r="AJ23" s="499"/>
      <c r="AK23" s="499"/>
    </row>
    <row r="24" spans="1:38">
      <c r="A24" s="576" t="s">
        <v>130</v>
      </c>
      <c r="G24" s="499"/>
      <c r="I24" s="499"/>
      <c r="K24" s="499"/>
      <c r="L24" s="499"/>
      <c r="M24" s="499"/>
      <c r="N24" s="499">
        <v>129.40902</v>
      </c>
      <c r="O24" s="499">
        <v>171.65512000000001</v>
      </c>
      <c r="P24" s="499"/>
      <c r="Q24" s="499"/>
      <c r="R24" s="499"/>
      <c r="S24" s="499"/>
      <c r="T24" s="499"/>
      <c r="U24" s="499"/>
      <c r="V24" s="499"/>
      <c r="W24" s="499"/>
      <c r="X24" s="499"/>
      <c r="Y24" s="499"/>
      <c r="Z24" s="499"/>
      <c r="AA24" s="499"/>
      <c r="AB24" s="499"/>
      <c r="AC24" s="499"/>
      <c r="AD24" s="499"/>
      <c r="AE24" s="499"/>
      <c r="AF24" s="499"/>
      <c r="AG24" s="499"/>
      <c r="AH24" s="499"/>
      <c r="AI24" s="499"/>
      <c r="AJ24" s="499"/>
      <c r="AK24" s="499"/>
    </row>
    <row r="25" spans="1:38">
      <c r="A25" s="583" t="s">
        <v>146</v>
      </c>
      <c r="B25" s="565"/>
      <c r="C25" s="584"/>
      <c r="D25" s="584"/>
      <c r="E25" s="584"/>
      <c r="F25" s="585"/>
      <c r="G25" s="585"/>
      <c r="H25" s="585"/>
      <c r="I25" s="585"/>
      <c r="J25" s="579"/>
      <c r="K25" s="579"/>
      <c r="L25" s="579"/>
      <c r="M25" s="579"/>
      <c r="N25" s="579">
        <v>15937.166675230948</v>
      </c>
      <c r="O25" s="579">
        <v>16016.208382180472</v>
      </c>
      <c r="P25" s="579"/>
      <c r="Q25" s="579"/>
      <c r="R25" s="579"/>
      <c r="S25" s="579"/>
      <c r="T25" s="579"/>
      <c r="U25" s="579"/>
      <c r="V25" s="579"/>
      <c r="W25" s="579"/>
      <c r="X25" s="579"/>
      <c r="Y25" s="579"/>
      <c r="Z25" s="579"/>
      <c r="AA25" s="579"/>
      <c r="AB25" s="579"/>
      <c r="AC25" s="579"/>
      <c r="AD25" s="579"/>
      <c r="AE25" s="579"/>
      <c r="AF25" s="579"/>
      <c r="AG25" s="579"/>
      <c r="AH25" s="579"/>
      <c r="AI25" s="579"/>
      <c r="AJ25" s="579"/>
      <c r="AK25" s="579"/>
    </row>
    <row r="26" spans="1:38">
      <c r="C26" s="586"/>
      <c r="D26" s="586"/>
      <c r="E26" s="586"/>
      <c r="J26" s="577"/>
    </row>
    <row r="27" spans="1:38">
      <c r="A27" s="565" t="s">
        <v>474</v>
      </c>
    </row>
    <row r="28" spans="1:38">
      <c r="A28" s="576" t="s">
        <v>475</v>
      </c>
      <c r="G28" s="499"/>
      <c r="H28" s="499"/>
      <c r="I28" s="499"/>
      <c r="K28" s="499"/>
      <c r="L28" s="499"/>
      <c r="M28" s="499"/>
      <c r="N28" s="499">
        <v>0</v>
      </c>
      <c r="O28" s="499">
        <v>0</v>
      </c>
      <c r="P28" s="499"/>
      <c r="Q28" s="499"/>
      <c r="R28" s="499"/>
      <c r="S28" s="499"/>
      <c r="T28" s="499"/>
      <c r="U28" s="499"/>
      <c r="V28" s="499"/>
      <c r="W28" s="499"/>
      <c r="X28" s="499"/>
      <c r="Y28" s="499"/>
      <c r="Z28" s="499"/>
      <c r="AA28" s="499"/>
      <c r="AB28" s="499"/>
      <c r="AC28" s="499"/>
      <c r="AD28" s="499"/>
      <c r="AE28" s="499"/>
      <c r="AF28" s="499"/>
      <c r="AG28" s="499"/>
      <c r="AH28" s="499"/>
      <c r="AI28" s="499"/>
      <c r="AJ28" s="499"/>
      <c r="AK28" s="499"/>
    </row>
    <row r="29" spans="1:38">
      <c r="A29" s="576" t="s">
        <v>476</v>
      </c>
      <c r="H29" s="499"/>
      <c r="I29" s="499"/>
      <c r="K29" s="499"/>
      <c r="L29" s="499"/>
      <c r="M29" s="499"/>
      <c r="N29" s="499">
        <v>0</v>
      </c>
      <c r="O29" s="499">
        <v>0</v>
      </c>
      <c r="P29" s="499"/>
      <c r="Q29" s="499"/>
      <c r="R29" s="499"/>
      <c r="S29" s="499"/>
      <c r="T29" s="499"/>
      <c r="U29" s="499"/>
      <c r="V29" s="499"/>
      <c r="W29" s="499"/>
      <c r="X29" s="499"/>
      <c r="Y29" s="510"/>
      <c r="Z29" s="510"/>
      <c r="AA29" s="510"/>
      <c r="AB29" s="510"/>
      <c r="AC29" s="510"/>
      <c r="AD29" s="510"/>
      <c r="AE29" s="510"/>
      <c r="AF29" s="510"/>
      <c r="AG29" s="510"/>
      <c r="AH29" s="510"/>
      <c r="AI29" s="510"/>
      <c r="AJ29" s="510"/>
      <c r="AK29" s="510"/>
    </row>
    <row r="30" spans="1:38">
      <c r="A30" s="576" t="s">
        <v>125</v>
      </c>
      <c r="G30" s="499"/>
      <c r="H30" s="499"/>
      <c r="I30" s="499"/>
      <c r="J30" s="499"/>
      <c r="K30" s="499"/>
      <c r="L30" s="499"/>
      <c r="M30" s="499"/>
      <c r="N30" s="499">
        <v>0</v>
      </c>
      <c r="O30" s="499">
        <v>0</v>
      </c>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587"/>
    </row>
    <row r="31" spans="1:38">
      <c r="A31" s="576" t="s">
        <v>126</v>
      </c>
      <c r="C31" s="499"/>
      <c r="G31" s="499"/>
      <c r="H31" s="510"/>
      <c r="I31" s="499"/>
      <c r="J31" s="510"/>
      <c r="K31" s="499"/>
      <c r="L31" s="577"/>
      <c r="M31" s="577"/>
      <c r="N31" s="577">
        <v>0</v>
      </c>
      <c r="O31" s="577">
        <v>0</v>
      </c>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8"/>
    </row>
    <row r="32" spans="1:38">
      <c r="A32" s="576" t="s">
        <v>127</v>
      </c>
      <c r="G32" s="499"/>
      <c r="H32" s="499"/>
      <c r="I32" s="499"/>
      <c r="J32" s="499"/>
      <c r="K32" s="499"/>
      <c r="L32" s="499"/>
      <c r="M32" s="499"/>
      <c r="N32" s="499">
        <v>0</v>
      </c>
      <c r="O32" s="499">
        <v>0</v>
      </c>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587"/>
    </row>
    <row r="33" spans="1:38">
      <c r="A33" s="588" t="s">
        <v>477</v>
      </c>
      <c r="B33" s="588"/>
      <c r="C33" s="498">
        <v>2409</v>
      </c>
      <c r="D33" s="498">
        <v>2298</v>
      </c>
      <c r="E33" s="498">
        <v>5852</v>
      </c>
      <c r="F33" s="498">
        <v>366.75887999999998</v>
      </c>
      <c r="G33" s="498">
        <v>287.96033</v>
      </c>
      <c r="H33" s="498">
        <v>43.941489999999995</v>
      </c>
      <c r="I33" s="498">
        <v>49.990010000000005</v>
      </c>
      <c r="J33" s="499">
        <v>272.28201000000001</v>
      </c>
      <c r="K33" s="499">
        <v>985.98041348400022</v>
      </c>
      <c r="L33" s="499"/>
      <c r="M33" s="510"/>
      <c r="N33" s="510">
        <v>0</v>
      </c>
      <c r="O33" s="510">
        <v>0</v>
      </c>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87"/>
    </row>
    <row r="34" spans="1:38">
      <c r="A34" s="583" t="s">
        <v>147</v>
      </c>
      <c r="C34" s="585">
        <v>2409</v>
      </c>
      <c r="D34" s="585">
        <v>2298</v>
      </c>
      <c r="E34" s="584">
        <v>5852</v>
      </c>
      <c r="F34" s="585">
        <v>366.75887999999998</v>
      </c>
      <c r="G34" s="585">
        <v>287.96033</v>
      </c>
      <c r="H34" s="579">
        <v>43.941489999999995</v>
      </c>
      <c r="I34" s="579">
        <v>49.990010000000005</v>
      </c>
      <c r="J34" s="579">
        <v>16778.378980000001</v>
      </c>
      <c r="K34" s="579">
        <v>17224.213052964456</v>
      </c>
      <c r="L34" s="579"/>
      <c r="M34" s="579"/>
      <c r="N34" s="579">
        <v>15937.166675230948</v>
      </c>
      <c r="O34" s="579">
        <v>16016.208382180472</v>
      </c>
      <c r="P34" s="579"/>
      <c r="Q34" s="579"/>
      <c r="R34" s="579"/>
      <c r="S34" s="579"/>
      <c r="T34" s="579"/>
      <c r="U34" s="579"/>
      <c r="V34" s="579"/>
      <c r="W34" s="579"/>
      <c r="X34" s="579"/>
      <c r="Y34" s="579"/>
      <c r="Z34" s="579"/>
      <c r="AA34" s="579"/>
      <c r="AB34" s="579"/>
      <c r="AC34" s="579"/>
      <c r="AD34" s="579"/>
      <c r="AE34" s="579"/>
      <c r="AF34" s="579"/>
      <c r="AG34" s="579"/>
      <c r="AH34" s="579"/>
      <c r="AI34" s="579"/>
      <c r="AJ34" s="579"/>
      <c r="AK34" s="579"/>
      <c r="AL34" s="587"/>
    </row>
    <row r="35" spans="1:38">
      <c r="A35" s="583"/>
      <c r="F35" s="579"/>
      <c r="G35" s="579"/>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row>
    <row r="36" spans="1:38">
      <c r="C36" s="589">
        <v>2011</v>
      </c>
      <c r="D36" s="589">
        <v>2012</v>
      </c>
      <c r="E36" s="589">
        <v>2013</v>
      </c>
      <c r="F36" s="589">
        <v>2014</v>
      </c>
      <c r="G36" s="589">
        <v>2015</v>
      </c>
      <c r="H36" s="589">
        <v>2016</v>
      </c>
      <c r="I36" s="589">
        <v>2017</v>
      </c>
      <c r="J36" s="589">
        <v>2018</v>
      </c>
      <c r="K36" s="589">
        <v>2018</v>
      </c>
      <c r="L36" s="589"/>
      <c r="M36" s="589"/>
    </row>
    <row r="37" spans="1:38">
      <c r="B37" s="590" t="s">
        <v>143</v>
      </c>
      <c r="C37" s="591">
        <v>27832.999309999999</v>
      </c>
      <c r="D37" s="591">
        <v>37009.955600000001</v>
      </c>
      <c r="E37" s="591">
        <v>26855.156549999996</v>
      </c>
      <c r="F37" s="591">
        <v>40861.326730000001</v>
      </c>
      <c r="G37" s="591">
        <v>44553.034719999996</v>
      </c>
      <c r="H37" s="591">
        <v>31041.645410000001</v>
      </c>
      <c r="I37" s="591">
        <v>21576.932919999999</v>
      </c>
      <c r="J37" s="591">
        <v>16778.378980000001</v>
      </c>
      <c r="K37" s="591">
        <v>15723.454390000001</v>
      </c>
      <c r="L37" s="577"/>
      <c r="M37" s="577"/>
      <c r="N37" s="592"/>
    </row>
    <row r="38" spans="1:38">
      <c r="B38" s="590"/>
      <c r="C38" s="593">
        <v>11.553756459111664</v>
      </c>
      <c r="D38" s="593">
        <v>16.105289643167971</v>
      </c>
      <c r="E38" s="593">
        <v>4.5890561431989054</v>
      </c>
      <c r="F38" s="593">
        <v>111.41196289507701</v>
      </c>
      <c r="G38" s="593">
        <v>154.71934873807095</v>
      </c>
      <c r="H38" s="593">
        <v>706.4313342583514</v>
      </c>
      <c r="I38" s="593">
        <v>431.62489705443141</v>
      </c>
      <c r="J38" s="593">
        <v>1</v>
      </c>
      <c r="K38" s="593">
        <v>0.91286924642945233</v>
      </c>
      <c r="L38" s="577"/>
      <c r="M38" s="577"/>
      <c r="N38" s="592"/>
    </row>
    <row r="39" spans="1:38">
      <c r="A39" s="594"/>
      <c r="B39" s="594" t="s">
        <v>144</v>
      </c>
      <c r="C39" s="595">
        <v>18144.96514</v>
      </c>
      <c r="D39" s="595">
        <v>20666.41188</v>
      </c>
      <c r="E39" s="595">
        <v>9382.1069399999997</v>
      </c>
      <c r="F39" s="498">
        <v>19565.447499999998</v>
      </c>
      <c r="G39" s="498">
        <v>22845.465809999998</v>
      </c>
      <c r="H39" s="498">
        <v>17028.25549</v>
      </c>
      <c r="I39" s="498">
        <v>11590.565140000001</v>
      </c>
      <c r="J39" s="498">
        <v>10886.260880000002</v>
      </c>
      <c r="K39" s="498">
        <v>10499.93635</v>
      </c>
      <c r="N39" s="596"/>
    </row>
    <row r="40" spans="1:38">
      <c r="A40" s="594"/>
      <c r="B40" s="594" t="s">
        <v>145</v>
      </c>
      <c r="C40" s="595">
        <v>4692.8797999999997</v>
      </c>
      <c r="D40" s="595">
        <v>10875.917369999999</v>
      </c>
      <c r="E40" s="595">
        <v>12886.24843</v>
      </c>
      <c r="F40" s="498">
        <v>20929.120350000001</v>
      </c>
      <c r="G40" s="498">
        <v>21419.608579999996</v>
      </c>
      <c r="H40" s="498">
        <v>13969.44843</v>
      </c>
      <c r="I40" s="498">
        <v>9936.3777699999991</v>
      </c>
      <c r="J40" s="498">
        <v>5619.8360899999998</v>
      </c>
      <c r="K40" s="498">
        <v>3748.81306</v>
      </c>
    </row>
    <row r="41" spans="1:38" ht="16.5" customHeight="1">
      <c r="A41" s="594"/>
      <c r="B41" s="594" t="s">
        <v>467</v>
      </c>
      <c r="C41" s="595">
        <v>4995.1543700000002</v>
      </c>
      <c r="D41" s="595">
        <v>5467.6263499999995</v>
      </c>
      <c r="E41" s="595">
        <v>4586.8011799999995</v>
      </c>
      <c r="F41" s="680">
        <v>366.75887999999998</v>
      </c>
      <c r="G41" s="680">
        <v>287.96033</v>
      </c>
      <c r="H41" s="680">
        <v>43.941489999999995</v>
      </c>
      <c r="I41" s="680">
        <v>49.990010000000005</v>
      </c>
      <c r="J41" s="680">
        <v>272.28201000000001</v>
      </c>
      <c r="K41" s="680">
        <v>1474.70498</v>
      </c>
    </row>
    <row r="42" spans="1:38">
      <c r="I42" s="681"/>
      <c r="O42" s="566" t="s">
        <v>372</v>
      </c>
    </row>
    <row r="43" spans="1:38" ht="27">
      <c r="G43" s="682"/>
      <c r="I43" s="681"/>
    </row>
  </sheetData>
  <customSheetViews>
    <customSheetView guid="{2226E858-00AE-4A92-8CF6-5B54D2FA62D4}" showPageBreaks="1" topLeftCell="A10">
      <selection activeCell="J43" sqref="J43"/>
      <pageMargins left="0.7" right="0.7" top="0.75" bottom="0.75" header="0.3" footer="0.3"/>
      <pageSetup orientation="portrait" r:id="rId1"/>
    </customSheetView>
  </customSheetViews>
  <mergeCells count="9">
    <mergeCell ref="Y10:AK10"/>
    <mergeCell ref="A33:B33"/>
    <mergeCell ref="C26:E26"/>
    <mergeCell ref="A1:O1"/>
    <mergeCell ref="C10:I10"/>
    <mergeCell ref="J10:K10"/>
    <mergeCell ref="L10:M10"/>
    <mergeCell ref="P10:X10"/>
    <mergeCell ref="N10:O10"/>
  </mergeCells>
  <hyperlinks>
    <hyperlink ref="L3" location="'Capital Input File'!A1" display="Capital Input"/>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zoomScale="70" zoomScaleNormal="70" workbookViewId="0">
      <pane ySplit="1" topLeftCell="A2" activePane="bottomLeft" state="frozen"/>
      <selection activeCell="G18" sqref="G18"/>
      <selection pane="bottomLeft" activeCell="G18" sqref="G18"/>
    </sheetView>
  </sheetViews>
  <sheetFormatPr defaultColWidth="5.7109375" defaultRowHeight="14.25" outlineLevelRow="1"/>
  <cols>
    <col min="1" max="1" width="26.85546875" style="549" customWidth="1"/>
    <col min="2" max="2" width="55.7109375" style="445" bestFit="1" customWidth="1"/>
    <col min="3" max="3" width="12.85546875" style="445" customWidth="1"/>
    <col min="4" max="4" width="16.28515625" style="445" bestFit="1" customWidth="1"/>
    <col min="5" max="6" width="15" style="445" bestFit="1" customWidth="1"/>
    <col min="7" max="7" width="15.140625" style="445" bestFit="1" customWidth="1"/>
    <col min="8" max="8" width="14.7109375" style="445" bestFit="1" customWidth="1"/>
    <col min="9" max="11" width="14.5703125" style="445" bestFit="1" customWidth="1"/>
    <col min="12" max="14" width="15" style="445" bestFit="1" customWidth="1"/>
    <col min="15" max="17" width="15.7109375" style="445" bestFit="1" customWidth="1"/>
    <col min="18" max="21" width="16" style="445" bestFit="1" customWidth="1"/>
    <col min="22" max="24" width="15.28515625" style="445" bestFit="1" customWidth="1"/>
    <col min="25" max="26" width="15.7109375" style="445" bestFit="1" customWidth="1"/>
    <col min="27" max="29" width="16" style="445" bestFit="1" customWidth="1"/>
    <col min="30" max="30" width="5.7109375" style="445" bestFit="1" customWidth="1"/>
    <col min="31" max="16384" width="5.7109375" style="445"/>
  </cols>
  <sheetData>
    <row r="1" spans="1:30" ht="28.5">
      <c r="A1" s="549" t="s">
        <v>606</v>
      </c>
      <c r="B1" s="645" t="s">
        <v>605</v>
      </c>
      <c r="C1" s="503">
        <v>2018</v>
      </c>
      <c r="D1" s="503">
        <v>2019</v>
      </c>
      <c r="E1" s="503">
        <v>2020</v>
      </c>
      <c r="F1" s="503">
        <v>2021</v>
      </c>
      <c r="G1" s="503">
        <v>2022</v>
      </c>
      <c r="H1" s="503">
        <v>2023</v>
      </c>
      <c r="I1" s="503"/>
      <c r="J1" s="503"/>
      <c r="K1" s="503"/>
      <c r="L1" s="503"/>
      <c r="M1" s="503"/>
      <c r="N1" s="503"/>
      <c r="O1" s="503"/>
      <c r="P1" s="503"/>
      <c r="Q1" s="503"/>
      <c r="R1" s="503"/>
      <c r="S1" s="503"/>
      <c r="T1" s="503"/>
      <c r="U1" s="503"/>
      <c r="V1" s="503"/>
      <c r="W1" s="503"/>
      <c r="X1" s="503"/>
      <c r="Y1" s="503"/>
      <c r="Z1" s="503"/>
      <c r="AA1" s="503"/>
      <c r="AB1" s="503"/>
      <c r="AC1" s="503"/>
    </row>
    <row r="2" spans="1:30">
      <c r="B2" s="460" t="s">
        <v>471</v>
      </c>
      <c r="C2" s="471"/>
      <c r="D2" s="471">
        <v>5487205</v>
      </c>
      <c r="E2" s="471">
        <v>5647463</v>
      </c>
      <c r="F2" s="471">
        <v>5849242.7570906607</v>
      </c>
      <c r="G2" s="471">
        <v>5979840.714877272</v>
      </c>
      <c r="H2" s="471">
        <v>6123481.4855378084</v>
      </c>
      <c r="I2" s="471"/>
      <c r="J2" s="471"/>
      <c r="K2" s="471"/>
      <c r="L2" s="471"/>
      <c r="M2" s="471"/>
      <c r="N2" s="471"/>
      <c r="O2" s="471"/>
      <c r="P2" s="471"/>
      <c r="Q2" s="471"/>
      <c r="R2" s="471"/>
      <c r="S2" s="471"/>
      <c r="T2" s="471"/>
      <c r="U2" s="471"/>
      <c r="V2" s="471"/>
      <c r="W2" s="471"/>
      <c r="X2" s="471"/>
      <c r="Y2" s="471"/>
      <c r="Z2" s="471"/>
      <c r="AA2" s="471"/>
      <c r="AB2" s="471"/>
      <c r="AC2" s="471"/>
    </row>
    <row r="3" spans="1:30">
      <c r="B3" s="445" t="s">
        <v>554</v>
      </c>
      <c r="C3" s="461"/>
      <c r="D3" s="461"/>
      <c r="E3" s="461"/>
      <c r="F3" s="461">
        <v>5647463</v>
      </c>
      <c r="G3" s="461">
        <v>5849242.7570906607</v>
      </c>
      <c r="H3" s="461">
        <v>5979840.714877272</v>
      </c>
      <c r="I3" s="461"/>
      <c r="J3" s="461"/>
      <c r="K3" s="461"/>
      <c r="L3" s="461"/>
      <c r="M3" s="461"/>
      <c r="N3" s="461"/>
      <c r="O3" s="461"/>
      <c r="P3" s="461"/>
      <c r="Q3" s="461"/>
      <c r="R3" s="461"/>
      <c r="S3" s="461"/>
      <c r="T3" s="461"/>
      <c r="U3" s="461"/>
      <c r="V3" s="461"/>
      <c r="W3" s="461"/>
      <c r="X3" s="461"/>
      <c r="Y3" s="461"/>
      <c r="Z3" s="461"/>
      <c r="AA3" s="461"/>
      <c r="AB3" s="461"/>
      <c r="AC3" s="461"/>
    </row>
    <row r="4" spans="1:30">
      <c r="B4" s="445" t="s">
        <v>596</v>
      </c>
      <c r="C4" s="461"/>
      <c r="D4" s="461"/>
      <c r="E4" s="461"/>
      <c r="F4" s="461">
        <v>436406.16809066117</v>
      </c>
      <c r="G4" s="461">
        <v>430869.62978661113</v>
      </c>
      <c r="H4" s="461">
        <v>449393.03966053645</v>
      </c>
      <c r="I4" s="461"/>
      <c r="J4" s="461"/>
      <c r="K4" s="461"/>
      <c r="L4" s="461"/>
      <c r="M4" s="461"/>
      <c r="N4" s="461"/>
      <c r="O4" s="461"/>
      <c r="P4" s="461"/>
      <c r="Q4" s="461"/>
      <c r="R4" s="461"/>
      <c r="S4" s="461"/>
      <c r="T4" s="461"/>
      <c r="U4" s="461"/>
      <c r="V4" s="461"/>
      <c r="W4" s="461"/>
      <c r="X4" s="461"/>
      <c r="Y4" s="461"/>
      <c r="Z4" s="461"/>
      <c r="AA4" s="461"/>
      <c r="AB4" s="461"/>
      <c r="AC4" s="461"/>
    </row>
    <row r="5" spans="1:30">
      <c r="B5" s="445" t="s">
        <v>597</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row>
    <row r="6" spans="1:30">
      <c r="B6" s="445" t="s">
        <v>598</v>
      </c>
      <c r="C6" s="461"/>
      <c r="D6" s="461"/>
      <c r="E6" s="461"/>
      <c r="F6" s="461">
        <v>64659</v>
      </c>
      <c r="G6" s="461"/>
      <c r="H6" s="461"/>
      <c r="I6" s="461"/>
      <c r="J6" s="461"/>
      <c r="K6" s="461"/>
      <c r="L6" s="461"/>
      <c r="M6" s="461"/>
      <c r="N6" s="461"/>
      <c r="O6" s="461"/>
      <c r="P6" s="461"/>
      <c r="Q6" s="461"/>
      <c r="R6" s="461"/>
      <c r="S6" s="461"/>
      <c r="T6" s="461"/>
      <c r="U6" s="461"/>
      <c r="V6" s="461"/>
      <c r="W6" s="461"/>
      <c r="X6" s="461"/>
      <c r="Y6" s="461"/>
      <c r="Z6" s="461"/>
      <c r="AA6" s="461"/>
      <c r="AB6" s="461"/>
      <c r="AC6" s="461"/>
    </row>
    <row r="7" spans="1:30">
      <c r="A7" s="549" t="s">
        <v>609</v>
      </c>
      <c r="B7" s="445" t="s">
        <v>553</v>
      </c>
      <c r="C7" s="461"/>
      <c r="D7" s="461"/>
      <c r="E7" s="461"/>
      <c r="F7" s="461">
        <v>-299285.41099999996</v>
      </c>
      <c r="G7" s="461">
        <v>-300271.67199999996</v>
      </c>
      <c r="H7" s="461">
        <v>-305752.26899999997</v>
      </c>
      <c r="I7" s="461"/>
      <c r="J7" s="461"/>
      <c r="K7" s="461"/>
      <c r="L7" s="461"/>
      <c r="M7" s="461"/>
      <c r="N7" s="461"/>
      <c r="O7" s="461"/>
      <c r="P7" s="461"/>
      <c r="Q7" s="461"/>
      <c r="R7" s="461"/>
      <c r="S7" s="461"/>
      <c r="T7" s="461"/>
      <c r="U7" s="461"/>
      <c r="V7" s="461"/>
      <c r="W7" s="461"/>
      <c r="X7" s="461"/>
      <c r="Y7" s="461"/>
      <c r="Z7" s="461"/>
      <c r="AA7" s="461"/>
      <c r="AB7" s="461"/>
      <c r="AC7" s="461"/>
      <c r="AD7" s="465"/>
    </row>
    <row r="8" spans="1:30" outlineLevel="1">
      <c r="B8" s="460" t="s">
        <v>595</v>
      </c>
      <c r="C8" s="471">
        <v>0</v>
      </c>
      <c r="D8" s="471">
        <v>7366563</v>
      </c>
      <c r="E8" s="471">
        <v>7493876</v>
      </c>
      <c r="F8" s="471">
        <v>7719126.2136274502</v>
      </c>
      <c r="G8" s="471">
        <v>7956549.8021942489</v>
      </c>
      <c r="H8" s="471">
        <v>8213498.544175433</v>
      </c>
      <c r="I8" s="471"/>
      <c r="J8" s="471"/>
      <c r="K8" s="471"/>
      <c r="L8" s="471"/>
      <c r="M8" s="471"/>
      <c r="N8" s="471"/>
      <c r="O8" s="471"/>
      <c r="P8" s="471"/>
      <c r="Q8" s="471"/>
      <c r="R8" s="471"/>
      <c r="S8" s="471"/>
      <c r="T8" s="471"/>
      <c r="U8" s="471"/>
      <c r="V8" s="471"/>
      <c r="W8" s="471"/>
      <c r="X8" s="471"/>
      <c r="Y8" s="471"/>
      <c r="Z8" s="471"/>
      <c r="AA8" s="471"/>
      <c r="AB8" s="471"/>
      <c r="AC8" s="471"/>
    </row>
    <row r="9" spans="1:30" outlineLevel="1">
      <c r="B9" s="445" t="s">
        <v>555</v>
      </c>
      <c r="C9" s="445">
        <v>0</v>
      </c>
      <c r="D9" s="461">
        <v>0</v>
      </c>
      <c r="E9" s="461">
        <v>10599586</v>
      </c>
      <c r="F9" s="461">
        <v>10599586</v>
      </c>
      <c r="G9" s="461">
        <v>11039136.182432996</v>
      </c>
      <c r="H9" s="461">
        <v>11494920.413013745</v>
      </c>
      <c r="I9" s="461"/>
      <c r="J9" s="461"/>
      <c r="K9" s="461"/>
      <c r="L9" s="461"/>
      <c r="M9" s="461"/>
      <c r="N9" s="461"/>
      <c r="O9" s="461"/>
      <c r="P9" s="461"/>
      <c r="Q9" s="461"/>
      <c r="R9" s="461"/>
      <c r="S9" s="461"/>
      <c r="T9" s="461"/>
      <c r="U9" s="461"/>
      <c r="V9" s="461"/>
      <c r="W9" s="461"/>
      <c r="X9" s="461"/>
      <c r="Y9" s="461"/>
      <c r="Z9" s="461"/>
      <c r="AA9" s="461"/>
      <c r="AB9" s="461"/>
      <c r="AC9" s="461"/>
    </row>
    <row r="10" spans="1:30" outlineLevel="1">
      <c r="B10" s="445" t="s">
        <v>556</v>
      </c>
      <c r="C10" s="461">
        <v>0</v>
      </c>
      <c r="D10" s="461">
        <v>619705</v>
      </c>
      <c r="E10" s="461">
        <v>623814</v>
      </c>
      <c r="F10" s="461">
        <v>623814</v>
      </c>
      <c r="G10" s="461">
        <v>623814</v>
      </c>
      <c r="H10" s="461">
        <v>623814</v>
      </c>
      <c r="I10" s="461"/>
      <c r="J10" s="461"/>
      <c r="K10" s="461"/>
      <c r="L10" s="461"/>
      <c r="M10" s="461"/>
      <c r="N10" s="461"/>
      <c r="O10" s="461"/>
      <c r="P10" s="461"/>
      <c r="Q10" s="461"/>
      <c r="R10" s="461"/>
      <c r="S10" s="461"/>
      <c r="T10" s="461"/>
      <c r="U10" s="461"/>
      <c r="V10" s="461"/>
      <c r="W10" s="461"/>
      <c r="X10" s="461"/>
      <c r="Y10" s="461"/>
      <c r="Z10" s="461"/>
      <c r="AA10" s="461"/>
      <c r="AB10" s="461"/>
      <c r="AC10" s="461"/>
    </row>
    <row r="11" spans="1:30" outlineLevel="1">
      <c r="B11" s="445" t="s">
        <v>599</v>
      </c>
      <c r="C11" s="461">
        <v>0</v>
      </c>
      <c r="D11" s="461">
        <v>0</v>
      </c>
      <c r="E11" s="461"/>
      <c r="F11" s="461">
        <v>462848.16809066117</v>
      </c>
      <c r="G11" s="461">
        <v>470869.62978661113</v>
      </c>
      <c r="H11" s="461">
        <v>489393.03966053645</v>
      </c>
      <c r="I11" s="461"/>
      <c r="J11" s="461"/>
      <c r="K11" s="461"/>
      <c r="L11" s="461"/>
      <c r="M11" s="461"/>
      <c r="N11" s="461"/>
      <c r="O11" s="461"/>
      <c r="P11" s="461"/>
      <c r="Q11" s="461"/>
      <c r="R11" s="461"/>
      <c r="S11" s="461"/>
      <c r="T11" s="461"/>
      <c r="U11" s="461"/>
      <c r="V11" s="461"/>
      <c r="W11" s="461"/>
      <c r="X11" s="461"/>
      <c r="Y11" s="461"/>
      <c r="Z11" s="461"/>
      <c r="AA11" s="461"/>
      <c r="AB11" s="461"/>
      <c r="AC11" s="461"/>
    </row>
    <row r="12" spans="1:30" outlineLevel="1">
      <c r="B12" s="445" t="s">
        <v>600</v>
      </c>
      <c r="C12" s="461"/>
      <c r="D12" s="461"/>
      <c r="E12" s="461">
        <v>0</v>
      </c>
      <c r="F12" s="461">
        <v>46883.853000000003</v>
      </c>
      <c r="G12" s="461">
        <v>55096.439451804799</v>
      </c>
      <c r="H12" s="461">
        <v>60786.527017483037</v>
      </c>
      <c r="I12" s="461"/>
      <c r="J12" s="461"/>
      <c r="K12" s="461"/>
      <c r="L12" s="461"/>
      <c r="M12" s="461"/>
      <c r="N12" s="461"/>
      <c r="O12" s="461"/>
      <c r="P12" s="461"/>
      <c r="Q12" s="461"/>
      <c r="R12" s="461"/>
      <c r="S12" s="461"/>
      <c r="T12" s="461"/>
      <c r="U12" s="461"/>
      <c r="V12" s="461"/>
      <c r="W12" s="461"/>
      <c r="X12" s="461"/>
      <c r="Y12" s="461"/>
      <c r="Z12" s="461"/>
      <c r="AA12" s="461"/>
      <c r="AB12" s="461"/>
      <c r="AC12" s="461"/>
    </row>
    <row r="13" spans="1:30" outlineLevel="1">
      <c r="B13" s="445" t="s">
        <v>601</v>
      </c>
      <c r="C13" s="461"/>
      <c r="D13" s="461"/>
      <c r="E13" s="461"/>
      <c r="F13" s="461">
        <v>-70181.838657666667</v>
      </c>
      <c r="G13" s="461">
        <v>-70181.838657666667</v>
      </c>
      <c r="H13" s="461">
        <v>-70181.838657666667</v>
      </c>
      <c r="I13" s="461"/>
      <c r="J13" s="461"/>
      <c r="K13" s="461"/>
      <c r="L13" s="461"/>
      <c r="M13" s="461"/>
      <c r="N13" s="461"/>
      <c r="O13" s="461"/>
      <c r="P13" s="461"/>
      <c r="Q13" s="461"/>
      <c r="R13" s="461"/>
      <c r="S13" s="461"/>
      <c r="T13" s="461"/>
      <c r="U13" s="461"/>
      <c r="V13" s="461"/>
      <c r="W13" s="461"/>
      <c r="X13" s="461"/>
      <c r="Y13" s="461"/>
      <c r="Z13" s="461"/>
      <c r="AA13" s="461"/>
      <c r="AB13" s="461"/>
      <c r="AC13" s="461"/>
    </row>
    <row r="14" spans="1:30" outlineLevel="1">
      <c r="B14" s="550" t="s">
        <v>557</v>
      </c>
      <c r="C14" s="461">
        <v>0</v>
      </c>
      <c r="D14" s="461">
        <v>0</v>
      </c>
      <c r="E14" s="461">
        <v>-3729524</v>
      </c>
      <c r="F14" s="461">
        <v>-3729524</v>
      </c>
      <c r="G14" s="461">
        <v>-3943823.968805545</v>
      </c>
      <c r="H14" s="461">
        <v>-4162184.6108194957</v>
      </c>
      <c r="I14" s="461"/>
      <c r="J14" s="461"/>
      <c r="K14" s="461"/>
      <c r="L14" s="461"/>
      <c r="M14" s="461"/>
      <c r="N14" s="461"/>
      <c r="O14" s="461"/>
      <c r="P14" s="461"/>
      <c r="Q14" s="461"/>
      <c r="R14" s="461"/>
      <c r="S14" s="461"/>
      <c r="T14" s="461"/>
      <c r="U14" s="461"/>
      <c r="V14" s="461"/>
      <c r="W14" s="461"/>
      <c r="X14" s="461"/>
      <c r="Y14" s="461"/>
      <c r="Z14" s="461"/>
      <c r="AA14" s="461"/>
      <c r="AB14" s="461"/>
      <c r="AC14" s="461"/>
    </row>
    <row r="15" spans="1:30" outlineLevel="1">
      <c r="B15" s="445" t="s">
        <v>558</v>
      </c>
      <c r="C15" s="461">
        <v>0</v>
      </c>
      <c r="D15" s="461">
        <v>0</v>
      </c>
      <c r="E15" s="461"/>
      <c r="F15" s="461">
        <v>-320054.50868724158</v>
      </c>
      <c r="G15" s="461">
        <v>-324115.18189564731</v>
      </c>
      <c r="H15" s="461">
        <v>-328803.52592086536</v>
      </c>
      <c r="I15" s="461"/>
      <c r="J15" s="461"/>
      <c r="K15" s="461"/>
      <c r="L15" s="461"/>
      <c r="M15" s="461"/>
      <c r="N15" s="461"/>
      <c r="O15" s="461"/>
      <c r="P15" s="461"/>
      <c r="Q15" s="461"/>
      <c r="R15" s="461"/>
      <c r="S15" s="461"/>
      <c r="T15" s="461"/>
      <c r="U15" s="461"/>
      <c r="V15" s="461"/>
      <c r="W15" s="461"/>
      <c r="X15" s="461"/>
      <c r="Y15" s="461"/>
      <c r="Z15" s="461"/>
      <c r="AA15" s="461"/>
      <c r="AB15" s="461"/>
      <c r="AC15" s="461"/>
    </row>
    <row r="16" spans="1:30" outlineLevel="1">
      <c r="B16" s="445" t="s">
        <v>602</v>
      </c>
      <c r="C16" s="461"/>
      <c r="D16" s="461"/>
      <c r="E16" s="461"/>
      <c r="F16" s="461">
        <v>105754.53988169624</v>
      </c>
      <c r="G16" s="461">
        <v>105754.53988169624</v>
      </c>
      <c r="H16" s="461">
        <v>105754.53988169624</v>
      </c>
      <c r="I16" s="461"/>
      <c r="J16" s="461"/>
      <c r="K16" s="461"/>
      <c r="L16" s="461"/>
      <c r="M16" s="461"/>
      <c r="N16" s="461"/>
      <c r="O16" s="461"/>
      <c r="P16" s="461"/>
      <c r="Q16" s="461"/>
      <c r="R16" s="461"/>
      <c r="S16" s="461"/>
      <c r="T16" s="461"/>
      <c r="U16" s="461"/>
      <c r="V16" s="461"/>
      <c r="W16" s="461"/>
      <c r="X16" s="461"/>
      <c r="Y16" s="461"/>
      <c r="Z16" s="461"/>
      <c r="AA16" s="461"/>
      <c r="AB16" s="461"/>
      <c r="AC16" s="461"/>
    </row>
    <row r="17" spans="1:31" s="554" customFormat="1" outlineLevel="1">
      <c r="A17" s="551"/>
      <c r="B17" s="552" t="s">
        <v>472</v>
      </c>
      <c r="C17" s="552">
        <v>0.77519514910613019</v>
      </c>
      <c r="D17" s="553">
        <v>0.74487993926068374</v>
      </c>
      <c r="E17" s="553">
        <v>0.75361041469060874</v>
      </c>
      <c r="F17" s="553">
        <v>0.75775969911780017</v>
      </c>
      <c r="G17" s="553">
        <v>0.7515620292137376</v>
      </c>
      <c r="H17" s="553">
        <v>0.74553875581803675</v>
      </c>
      <c r="I17" s="553"/>
      <c r="J17" s="553"/>
      <c r="K17" s="553"/>
      <c r="L17" s="553"/>
      <c r="M17" s="553"/>
      <c r="N17" s="553"/>
      <c r="O17" s="553"/>
      <c r="P17" s="553"/>
      <c r="Q17" s="553"/>
      <c r="R17" s="553"/>
      <c r="S17" s="553"/>
      <c r="T17" s="553"/>
      <c r="U17" s="553"/>
      <c r="V17" s="553"/>
      <c r="W17" s="553"/>
      <c r="X17" s="553"/>
      <c r="Y17" s="553"/>
      <c r="Z17" s="553"/>
      <c r="AA17" s="553"/>
      <c r="AB17" s="553"/>
      <c r="AC17" s="553"/>
    </row>
    <row r="18" spans="1:31" outlineLevel="1">
      <c r="B18" s="525" t="s">
        <v>488</v>
      </c>
      <c r="C18" s="471"/>
      <c r="E18" s="460"/>
      <c r="F18" s="553"/>
      <c r="H18" s="553"/>
      <c r="I18" s="555"/>
      <c r="J18" s="553"/>
      <c r="K18" s="555"/>
      <c r="L18" s="555"/>
      <c r="M18" s="553"/>
      <c r="N18" s="555"/>
      <c r="O18" s="553"/>
      <c r="P18" s="555"/>
      <c r="Q18" s="553"/>
      <c r="R18" s="555"/>
      <c r="S18" s="553"/>
      <c r="T18" s="555"/>
      <c r="U18" s="553"/>
      <c r="V18" s="555"/>
      <c r="W18" s="553"/>
      <c r="X18" s="555"/>
      <c r="Y18" s="553"/>
      <c r="Z18" s="555"/>
      <c r="AA18" s="553"/>
      <c r="AB18" s="555"/>
      <c r="AC18" s="553"/>
      <c r="AD18" s="555"/>
      <c r="AE18" s="555"/>
    </row>
    <row r="19" spans="1:31" outlineLevel="1">
      <c r="B19" s="645" t="s">
        <v>552</v>
      </c>
      <c r="C19" s="503">
        <v>2018</v>
      </c>
      <c r="D19" s="503">
        <v>2019</v>
      </c>
      <c r="E19" s="503">
        <v>2020</v>
      </c>
      <c r="F19" s="503">
        <v>2021</v>
      </c>
      <c r="G19" s="503">
        <v>2022</v>
      </c>
      <c r="H19" s="503">
        <v>2023</v>
      </c>
      <c r="I19" s="503"/>
      <c r="J19" s="503"/>
      <c r="K19" s="503"/>
      <c r="L19" s="503"/>
      <c r="M19" s="503"/>
      <c r="N19" s="503"/>
      <c r="O19" s="503"/>
      <c r="P19" s="503"/>
      <c r="Q19" s="503"/>
      <c r="R19" s="503"/>
      <c r="S19" s="503"/>
      <c r="T19" s="503"/>
      <c r="U19" s="503"/>
      <c r="V19" s="503"/>
      <c r="W19" s="503"/>
      <c r="X19" s="503"/>
      <c r="Y19" s="503"/>
      <c r="Z19" s="503"/>
      <c r="AA19" s="503"/>
      <c r="AB19" s="503"/>
      <c r="AC19" s="503"/>
    </row>
    <row r="20" spans="1:31" outlineLevel="1">
      <c r="B20" s="460" t="s">
        <v>471</v>
      </c>
      <c r="C20" s="471">
        <v>0</v>
      </c>
      <c r="D20" s="471">
        <v>5487205</v>
      </c>
      <c r="E20" s="471">
        <v>5845015</v>
      </c>
      <c r="F20" s="471">
        <v>6046794.7570906607</v>
      </c>
      <c r="G20" s="471">
        <v>6177392.714877272</v>
      </c>
      <c r="H20" s="471">
        <v>6321033.4855378084</v>
      </c>
      <c r="I20" s="471"/>
      <c r="J20" s="471"/>
      <c r="K20" s="471"/>
      <c r="L20" s="471"/>
      <c r="M20" s="471"/>
      <c r="N20" s="471"/>
      <c r="O20" s="471"/>
      <c r="P20" s="471"/>
      <c r="Q20" s="471"/>
      <c r="R20" s="471"/>
      <c r="S20" s="471"/>
      <c r="T20" s="471"/>
      <c r="U20" s="471"/>
      <c r="V20" s="471"/>
      <c r="W20" s="471"/>
      <c r="X20" s="471"/>
      <c r="Y20" s="471"/>
      <c r="Z20" s="471"/>
      <c r="AA20" s="471"/>
      <c r="AB20" s="471"/>
      <c r="AC20" s="471"/>
    </row>
    <row r="21" spans="1:31" outlineLevel="1">
      <c r="B21" s="445" t="s">
        <v>554</v>
      </c>
      <c r="C21" s="461">
        <v>0</v>
      </c>
      <c r="D21" s="461">
        <v>0</v>
      </c>
      <c r="E21" s="461">
        <v>5845015</v>
      </c>
      <c r="F21" s="461">
        <v>5845015</v>
      </c>
      <c r="G21" s="461">
        <v>6046794.7570906607</v>
      </c>
      <c r="H21" s="461">
        <v>6177392.714877272</v>
      </c>
      <c r="I21" s="461"/>
      <c r="J21" s="461"/>
      <c r="K21" s="461"/>
      <c r="L21" s="461"/>
      <c r="M21" s="461"/>
      <c r="N21" s="461"/>
      <c r="O21" s="461"/>
      <c r="P21" s="461"/>
      <c r="Q21" s="461"/>
      <c r="R21" s="461"/>
      <c r="S21" s="461"/>
      <c r="T21" s="461"/>
      <c r="U21" s="461"/>
      <c r="V21" s="461"/>
      <c r="W21" s="461"/>
      <c r="X21" s="461"/>
      <c r="Y21" s="461"/>
      <c r="Z21" s="461"/>
      <c r="AA21" s="461"/>
      <c r="AB21" s="461"/>
      <c r="AC21" s="461"/>
    </row>
    <row r="22" spans="1:31" outlineLevel="1">
      <c r="B22" s="445" t="s">
        <v>596</v>
      </c>
      <c r="C22" s="461">
        <v>0</v>
      </c>
      <c r="D22" s="461">
        <v>0</v>
      </c>
      <c r="E22" s="461">
        <v>0</v>
      </c>
      <c r="F22" s="461">
        <v>436406.16809066117</v>
      </c>
      <c r="G22" s="461">
        <v>430869.62978661113</v>
      </c>
      <c r="H22" s="461">
        <v>449393.03966053645</v>
      </c>
      <c r="I22" s="461"/>
      <c r="J22" s="461"/>
      <c r="K22" s="461"/>
      <c r="L22" s="461"/>
      <c r="M22" s="461"/>
      <c r="N22" s="461"/>
      <c r="O22" s="461"/>
      <c r="P22" s="461"/>
      <c r="Q22" s="461"/>
      <c r="R22" s="461"/>
      <c r="S22" s="461"/>
      <c r="T22" s="461"/>
      <c r="U22" s="461"/>
      <c r="V22" s="461"/>
      <c r="W22" s="461"/>
      <c r="X22" s="461"/>
      <c r="Y22" s="461"/>
      <c r="Z22" s="461"/>
      <c r="AA22" s="461"/>
      <c r="AB22" s="461"/>
      <c r="AC22" s="461"/>
    </row>
    <row r="23" spans="1:31" outlineLevel="1">
      <c r="B23" s="445" t="s">
        <v>597</v>
      </c>
      <c r="C23" s="461">
        <v>0</v>
      </c>
      <c r="D23" s="461">
        <v>0</v>
      </c>
      <c r="E23" s="461">
        <v>0</v>
      </c>
      <c r="F23" s="461">
        <v>0</v>
      </c>
      <c r="G23" s="461">
        <v>0</v>
      </c>
      <c r="H23" s="461">
        <v>0</v>
      </c>
      <c r="I23" s="461"/>
      <c r="J23" s="461"/>
      <c r="K23" s="461"/>
      <c r="L23" s="461"/>
      <c r="M23" s="461"/>
      <c r="N23" s="461"/>
      <c r="O23" s="461"/>
      <c r="P23" s="461"/>
      <c r="Q23" s="461"/>
      <c r="R23" s="461"/>
      <c r="S23" s="461"/>
      <c r="T23" s="461"/>
      <c r="U23" s="461"/>
      <c r="V23" s="461"/>
      <c r="W23" s="461"/>
      <c r="X23" s="461"/>
      <c r="Y23" s="461"/>
      <c r="Z23" s="461"/>
      <c r="AA23" s="461"/>
      <c r="AB23" s="461"/>
      <c r="AC23" s="461"/>
    </row>
    <row r="24" spans="1:31" outlineLevel="1">
      <c r="B24" s="445" t="s">
        <v>598</v>
      </c>
      <c r="C24" s="461">
        <v>0</v>
      </c>
      <c r="D24" s="461">
        <v>357810</v>
      </c>
      <c r="E24" s="461">
        <v>0</v>
      </c>
      <c r="F24" s="461">
        <v>64659</v>
      </c>
      <c r="G24" s="461">
        <v>0</v>
      </c>
      <c r="H24" s="461">
        <v>0</v>
      </c>
      <c r="I24" s="461"/>
      <c r="J24" s="461"/>
      <c r="K24" s="461"/>
      <c r="L24" s="461"/>
      <c r="M24" s="461"/>
      <c r="N24" s="461"/>
      <c r="O24" s="461"/>
      <c r="P24" s="461"/>
      <c r="Q24" s="461"/>
      <c r="R24" s="461"/>
      <c r="S24" s="461"/>
      <c r="T24" s="461"/>
      <c r="U24" s="461"/>
      <c r="V24" s="461"/>
      <c r="W24" s="461"/>
      <c r="X24" s="461"/>
      <c r="Y24" s="461"/>
      <c r="Z24" s="461"/>
      <c r="AA24" s="461"/>
      <c r="AB24" s="461"/>
      <c r="AC24" s="461"/>
    </row>
    <row r="25" spans="1:31" outlineLevel="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row>
    <row r="26" spans="1:31">
      <c r="B26" s="445" t="s">
        <v>553</v>
      </c>
      <c r="C26" s="461">
        <v>0</v>
      </c>
      <c r="D26" s="461">
        <v>0</v>
      </c>
      <c r="E26" s="461"/>
      <c r="F26" s="461">
        <v>-299285.41099999996</v>
      </c>
      <c r="G26" s="461">
        <v>-300271.67199999996</v>
      </c>
      <c r="H26" s="461">
        <v>-305752.26899999997</v>
      </c>
      <c r="I26" s="461"/>
      <c r="J26" s="461"/>
      <c r="K26" s="461"/>
      <c r="L26" s="461"/>
      <c r="M26" s="461"/>
      <c r="N26" s="461"/>
      <c r="O26" s="461"/>
      <c r="P26" s="461"/>
      <c r="Q26" s="461"/>
      <c r="R26" s="461"/>
      <c r="S26" s="461"/>
      <c r="T26" s="461"/>
      <c r="U26" s="461"/>
      <c r="V26" s="461"/>
      <c r="W26" s="461"/>
      <c r="X26" s="461"/>
      <c r="Y26" s="461"/>
      <c r="Z26" s="461"/>
      <c r="AA26" s="461"/>
      <c r="AB26" s="461"/>
      <c r="AC26" s="461"/>
      <c r="AD26" s="465"/>
    </row>
    <row r="27" spans="1:31">
      <c r="B27" s="460" t="s">
        <v>595</v>
      </c>
      <c r="C27" s="471">
        <v>0</v>
      </c>
      <c r="D27" s="471">
        <v>7366563</v>
      </c>
      <c r="E27" s="471">
        <v>7493876</v>
      </c>
      <c r="F27" s="471">
        <v>7719126.2136274502</v>
      </c>
      <c r="G27" s="471">
        <v>7956549.8021942489</v>
      </c>
      <c r="H27" s="471">
        <v>8213498.544175433</v>
      </c>
      <c r="I27" s="471"/>
      <c r="J27" s="471"/>
      <c r="K27" s="471"/>
      <c r="L27" s="471"/>
      <c r="M27" s="471"/>
      <c r="N27" s="471"/>
      <c r="O27" s="471"/>
      <c r="P27" s="471"/>
      <c r="Q27" s="471"/>
      <c r="R27" s="471"/>
      <c r="S27" s="471"/>
      <c r="T27" s="471"/>
      <c r="U27" s="471"/>
      <c r="V27" s="471"/>
      <c r="W27" s="471"/>
      <c r="X27" s="471"/>
      <c r="Y27" s="471"/>
      <c r="Z27" s="471"/>
      <c r="AA27" s="471"/>
      <c r="AB27" s="471"/>
      <c r="AC27" s="471"/>
    </row>
    <row r="28" spans="1:31">
      <c r="B28" s="445" t="s">
        <v>555</v>
      </c>
      <c r="C28" s="465">
        <v>0</v>
      </c>
      <c r="D28" s="461">
        <v>0</v>
      </c>
      <c r="E28" s="461">
        <v>10599586</v>
      </c>
      <c r="F28" s="461">
        <v>10599586</v>
      </c>
      <c r="G28" s="461">
        <v>11039136.182432996</v>
      </c>
      <c r="H28" s="461">
        <v>11494920.413013745</v>
      </c>
      <c r="I28" s="461"/>
      <c r="J28" s="461"/>
      <c r="K28" s="461"/>
      <c r="L28" s="461"/>
      <c r="M28" s="461"/>
      <c r="N28" s="461"/>
      <c r="O28" s="461"/>
      <c r="P28" s="461"/>
      <c r="Q28" s="461"/>
      <c r="R28" s="461"/>
      <c r="S28" s="461"/>
      <c r="T28" s="461"/>
      <c r="U28" s="461"/>
      <c r="V28" s="461"/>
      <c r="W28" s="461"/>
      <c r="X28" s="461"/>
      <c r="Y28" s="461"/>
      <c r="Z28" s="461"/>
      <c r="AA28" s="461"/>
      <c r="AB28" s="461"/>
      <c r="AC28" s="461"/>
    </row>
    <row r="29" spans="1:31">
      <c r="B29" s="445" t="s">
        <v>556</v>
      </c>
      <c r="C29" s="461">
        <v>0</v>
      </c>
      <c r="D29" s="461">
        <v>619705</v>
      </c>
      <c r="E29" s="461">
        <v>623814</v>
      </c>
      <c r="F29" s="461">
        <v>623814</v>
      </c>
      <c r="G29" s="461">
        <v>623814</v>
      </c>
      <c r="H29" s="461">
        <v>623814</v>
      </c>
      <c r="I29" s="461"/>
      <c r="J29" s="461"/>
      <c r="K29" s="461"/>
      <c r="L29" s="461"/>
      <c r="M29" s="461"/>
      <c r="N29" s="461"/>
      <c r="O29" s="461"/>
      <c r="P29" s="461"/>
      <c r="Q29" s="461"/>
      <c r="R29" s="461"/>
      <c r="S29" s="461"/>
      <c r="T29" s="461"/>
      <c r="U29" s="461"/>
      <c r="V29" s="461"/>
      <c r="W29" s="461"/>
      <c r="X29" s="461"/>
      <c r="Y29" s="461"/>
      <c r="Z29" s="461"/>
      <c r="AA29" s="461"/>
      <c r="AB29" s="461"/>
      <c r="AC29" s="461"/>
    </row>
    <row r="30" spans="1:31">
      <c r="B30" s="445" t="s">
        <v>599</v>
      </c>
      <c r="C30" s="461">
        <v>0</v>
      </c>
      <c r="D30" s="461">
        <v>0</v>
      </c>
      <c r="E30" s="461">
        <v>0</v>
      </c>
      <c r="F30" s="461">
        <v>462848.16809066117</v>
      </c>
      <c r="G30" s="461">
        <v>470869.62978661113</v>
      </c>
      <c r="H30" s="461">
        <v>489393.03966053645</v>
      </c>
      <c r="I30" s="461"/>
      <c r="J30" s="461"/>
      <c r="K30" s="461"/>
      <c r="L30" s="461"/>
      <c r="M30" s="461"/>
      <c r="N30" s="461"/>
      <c r="O30" s="461"/>
      <c r="P30" s="461"/>
      <c r="Q30" s="461"/>
      <c r="R30" s="461"/>
      <c r="S30" s="461"/>
      <c r="T30" s="461"/>
      <c r="U30" s="461"/>
      <c r="V30" s="461"/>
      <c r="W30" s="461"/>
      <c r="X30" s="461"/>
      <c r="Y30" s="461"/>
      <c r="Z30" s="461"/>
      <c r="AA30" s="461"/>
      <c r="AB30" s="461"/>
      <c r="AC30" s="461"/>
    </row>
    <row r="31" spans="1:31">
      <c r="B31" s="445" t="s">
        <v>600</v>
      </c>
      <c r="C31" s="461">
        <v>0</v>
      </c>
      <c r="D31" s="461">
        <v>0</v>
      </c>
      <c r="E31" s="461">
        <v>0</v>
      </c>
      <c r="F31" s="461">
        <v>46883.853000000003</v>
      </c>
      <c r="G31" s="461">
        <v>55096.439451804799</v>
      </c>
      <c r="H31" s="461">
        <v>60786.527017483037</v>
      </c>
      <c r="I31" s="461"/>
      <c r="J31" s="461"/>
      <c r="K31" s="461"/>
      <c r="L31" s="461"/>
      <c r="M31" s="461"/>
      <c r="N31" s="461"/>
      <c r="O31" s="461"/>
      <c r="P31" s="461"/>
      <c r="Q31" s="461"/>
      <c r="R31" s="461"/>
      <c r="S31" s="461"/>
      <c r="T31" s="461"/>
      <c r="U31" s="461"/>
      <c r="V31" s="461"/>
      <c r="W31" s="461"/>
      <c r="X31" s="461"/>
      <c r="Y31" s="461"/>
      <c r="Z31" s="461"/>
      <c r="AA31" s="461"/>
      <c r="AB31" s="461"/>
      <c r="AC31" s="461"/>
    </row>
    <row r="32" spans="1:31">
      <c r="B32" s="445" t="s">
        <v>601</v>
      </c>
      <c r="C32" s="461">
        <v>0</v>
      </c>
      <c r="D32" s="461">
        <v>0</v>
      </c>
      <c r="E32" s="461">
        <v>0</v>
      </c>
      <c r="F32" s="461">
        <v>-70181.838657666667</v>
      </c>
      <c r="G32" s="461">
        <v>-70181.838657666667</v>
      </c>
      <c r="H32" s="461">
        <v>-70181.838657666667</v>
      </c>
      <c r="I32" s="461"/>
      <c r="J32" s="461"/>
      <c r="K32" s="461"/>
      <c r="L32" s="461"/>
      <c r="M32" s="461"/>
      <c r="N32" s="461"/>
      <c r="O32" s="461"/>
      <c r="P32" s="461"/>
      <c r="Q32" s="461"/>
      <c r="R32" s="461"/>
      <c r="S32" s="461"/>
      <c r="T32" s="461"/>
      <c r="U32" s="461"/>
      <c r="V32" s="461"/>
      <c r="W32" s="461"/>
      <c r="X32" s="461"/>
      <c r="Y32" s="461"/>
      <c r="Z32" s="461"/>
      <c r="AA32" s="461"/>
      <c r="AB32" s="461"/>
      <c r="AC32" s="461"/>
    </row>
    <row r="33" spans="1:29">
      <c r="B33" s="550" t="s">
        <v>557</v>
      </c>
      <c r="C33" s="461">
        <v>0</v>
      </c>
      <c r="D33" s="461">
        <v>0</v>
      </c>
      <c r="E33" s="461">
        <v>-3729524</v>
      </c>
      <c r="F33" s="461">
        <v>-3729524</v>
      </c>
      <c r="G33" s="461">
        <v>-3943823.968805545</v>
      </c>
      <c r="H33" s="461">
        <v>-4162184.6108194957</v>
      </c>
      <c r="I33" s="461"/>
      <c r="J33" s="461"/>
      <c r="K33" s="461"/>
      <c r="L33" s="461"/>
      <c r="M33" s="461"/>
      <c r="N33" s="461"/>
      <c r="O33" s="461"/>
      <c r="P33" s="461"/>
      <c r="Q33" s="461"/>
      <c r="R33" s="461"/>
      <c r="S33" s="461"/>
      <c r="T33" s="461"/>
      <c r="U33" s="461"/>
      <c r="V33" s="461"/>
      <c r="W33" s="461"/>
      <c r="X33" s="461"/>
      <c r="Y33" s="461"/>
      <c r="Z33" s="461"/>
      <c r="AA33" s="461"/>
      <c r="AB33" s="461"/>
      <c r="AC33" s="461"/>
    </row>
    <row r="34" spans="1:29">
      <c r="B34" s="445" t="s">
        <v>558</v>
      </c>
      <c r="C34" s="461">
        <v>0</v>
      </c>
      <c r="D34" s="461">
        <v>0</v>
      </c>
      <c r="E34" s="461">
        <v>0</v>
      </c>
      <c r="F34" s="461">
        <v>-320054.50868724158</v>
      </c>
      <c r="G34" s="461">
        <v>-324115.18189564731</v>
      </c>
      <c r="H34" s="461">
        <v>-328803.52592086536</v>
      </c>
      <c r="I34" s="461"/>
      <c r="J34" s="461"/>
      <c r="K34" s="461"/>
      <c r="L34" s="461"/>
      <c r="M34" s="461"/>
      <c r="N34" s="461"/>
      <c r="O34" s="461"/>
      <c r="P34" s="461"/>
      <c r="Q34" s="461"/>
      <c r="R34" s="461"/>
      <c r="S34" s="461"/>
      <c r="T34" s="461"/>
      <c r="U34" s="461"/>
      <c r="V34" s="461"/>
      <c r="W34" s="461"/>
      <c r="X34" s="461"/>
      <c r="Y34" s="461"/>
      <c r="Z34" s="461"/>
      <c r="AA34" s="461"/>
      <c r="AB34" s="461"/>
      <c r="AC34" s="461"/>
    </row>
    <row r="35" spans="1:29">
      <c r="B35" s="445" t="s">
        <v>602</v>
      </c>
      <c r="C35" s="461">
        <v>0</v>
      </c>
      <c r="D35" s="461">
        <v>0</v>
      </c>
      <c r="E35" s="461">
        <v>0</v>
      </c>
      <c r="F35" s="461">
        <v>105754.53988169624</v>
      </c>
      <c r="G35" s="461">
        <v>105754.53988169624</v>
      </c>
      <c r="H35" s="461">
        <v>105754.53988169624</v>
      </c>
      <c r="I35" s="461"/>
      <c r="J35" s="461"/>
      <c r="K35" s="461"/>
      <c r="L35" s="461"/>
      <c r="M35" s="461"/>
      <c r="N35" s="461"/>
      <c r="O35" s="461"/>
      <c r="P35" s="461"/>
      <c r="Q35" s="461"/>
      <c r="R35" s="461"/>
      <c r="S35" s="461"/>
      <c r="T35" s="461"/>
      <c r="U35" s="461"/>
      <c r="V35" s="461"/>
      <c r="W35" s="461"/>
      <c r="X35" s="461"/>
      <c r="Y35" s="461"/>
      <c r="Z35" s="461"/>
      <c r="AA35" s="461"/>
      <c r="AB35" s="461"/>
      <c r="AC35" s="461"/>
    </row>
    <row r="36" spans="1:29" s="557" customFormat="1">
      <c r="A36" s="556"/>
      <c r="B36" s="673" t="s">
        <v>472</v>
      </c>
      <c r="C36" s="674">
        <v>0</v>
      </c>
      <c r="D36" s="674">
        <v>0.79345211600036547</v>
      </c>
      <c r="E36" s="553">
        <v>0.7799722066391277</v>
      </c>
      <c r="F36" s="553">
        <v>0.78335222999999998</v>
      </c>
      <c r="G36" s="553">
        <v>0.77639088153180125</v>
      </c>
      <c r="H36" s="553">
        <v>0.76959086941341726</v>
      </c>
      <c r="I36" s="553"/>
      <c r="J36" s="553"/>
      <c r="K36" s="553"/>
      <c r="L36" s="553"/>
      <c r="M36" s="553"/>
      <c r="N36" s="553"/>
      <c r="O36" s="553"/>
      <c r="P36" s="553"/>
      <c r="Q36" s="553"/>
      <c r="R36" s="553"/>
      <c r="S36" s="553"/>
      <c r="T36" s="553"/>
      <c r="U36" s="553"/>
      <c r="V36" s="553"/>
      <c r="W36" s="553"/>
      <c r="X36" s="553"/>
      <c r="Y36" s="553"/>
      <c r="Z36" s="553"/>
      <c r="AA36" s="553"/>
      <c r="AB36" s="553"/>
      <c r="AC36" s="553"/>
    </row>
    <row r="37" spans="1:29">
      <c r="B37" s="550" t="s">
        <v>610</v>
      </c>
      <c r="C37" s="471"/>
      <c r="D37" s="460" t="s">
        <v>644</v>
      </c>
      <c r="E37" s="675">
        <v>0</v>
      </c>
      <c r="F37" s="673">
        <v>0.79345211999999998</v>
      </c>
      <c r="G37" s="465"/>
      <c r="H37" s="557">
        <v>0.78335222999999998</v>
      </c>
      <c r="I37" s="465"/>
      <c r="J37" s="557"/>
      <c r="K37" s="465"/>
      <c r="L37" s="465"/>
      <c r="M37" s="557"/>
      <c r="N37" s="465"/>
      <c r="O37" s="557"/>
      <c r="P37" s="465"/>
      <c r="Q37" s="557"/>
      <c r="R37" s="465"/>
      <c r="S37" s="557"/>
      <c r="T37" s="465"/>
      <c r="U37" s="557"/>
      <c r="V37" s="465"/>
      <c r="W37" s="557"/>
      <c r="X37" s="465"/>
      <c r="Y37" s="557"/>
      <c r="Z37" s="465"/>
      <c r="AA37" s="557"/>
      <c r="AB37" s="465"/>
      <c r="AC37" s="557"/>
    </row>
    <row r="38" spans="1:29" s="553" customFormat="1">
      <c r="B38" s="553" t="s">
        <v>607</v>
      </c>
      <c r="F38" s="553">
        <v>-1.009989E-2</v>
      </c>
      <c r="H38" s="553">
        <v>-1.3761360586582727E-2</v>
      </c>
    </row>
    <row r="39" spans="1:29">
      <c r="B39" s="445" t="s">
        <v>604</v>
      </c>
      <c r="D39" s="461">
        <v>0</v>
      </c>
      <c r="G39" s="465">
        <v>0</v>
      </c>
      <c r="H39" s="465">
        <v>0</v>
      </c>
      <c r="I39" s="465"/>
      <c r="J39" s="465"/>
      <c r="K39" s="465"/>
      <c r="L39" s="465"/>
      <c r="M39" s="465"/>
      <c r="N39" s="465"/>
      <c r="O39" s="465"/>
      <c r="P39" s="465"/>
      <c r="Q39" s="465"/>
      <c r="R39" s="465"/>
      <c r="S39" s="465"/>
      <c r="T39" s="465"/>
      <c r="U39" s="465"/>
      <c r="V39" s="465"/>
      <c r="W39" s="465"/>
      <c r="X39" s="465"/>
      <c r="Y39" s="465"/>
      <c r="Z39" s="465"/>
      <c r="AA39" s="465"/>
      <c r="AB39" s="465"/>
      <c r="AC39" s="465"/>
    </row>
    <row r="40" spans="1:29">
      <c r="B40" s="445" t="s">
        <v>603</v>
      </c>
      <c r="D40" s="461">
        <v>0</v>
      </c>
      <c r="G40" s="461">
        <v>0</v>
      </c>
      <c r="H40" s="461">
        <v>0</v>
      </c>
      <c r="I40" s="461"/>
      <c r="J40" s="461"/>
      <c r="K40" s="461"/>
      <c r="L40" s="461"/>
      <c r="M40" s="461"/>
      <c r="N40" s="469"/>
      <c r="O40" s="465"/>
      <c r="P40" s="469"/>
      <c r="Q40" s="465"/>
      <c r="R40" s="469"/>
      <c r="S40" s="465"/>
      <c r="T40" s="469"/>
      <c r="U40" s="465"/>
      <c r="V40" s="469"/>
      <c r="W40" s="465"/>
      <c r="X40" s="469"/>
      <c r="Y40" s="465"/>
      <c r="Z40" s="469"/>
      <c r="AA40" s="465"/>
      <c r="AB40" s="469"/>
      <c r="AC40" s="465"/>
    </row>
    <row r="41" spans="1:29">
      <c r="C41" s="558">
        <v>2018</v>
      </c>
      <c r="D41" s="559">
        <v>2019</v>
      </c>
      <c r="E41" s="558">
        <v>2020</v>
      </c>
      <c r="F41" s="558">
        <v>2021</v>
      </c>
      <c r="G41" s="559">
        <v>2022</v>
      </c>
      <c r="H41" s="559">
        <v>2023</v>
      </c>
      <c r="I41" s="559"/>
      <c r="J41" s="559"/>
      <c r="K41" s="559"/>
      <c r="L41" s="559"/>
      <c r="M41" s="559"/>
      <c r="N41" s="558"/>
      <c r="O41" s="558"/>
      <c r="P41" s="558"/>
      <c r="Q41" s="558"/>
      <c r="R41" s="558"/>
      <c r="S41" s="558"/>
      <c r="T41" s="558"/>
      <c r="U41" s="558"/>
      <c r="V41" s="558"/>
      <c r="W41" s="558"/>
      <c r="X41" s="558"/>
      <c r="Y41" s="558"/>
      <c r="Z41" s="558"/>
      <c r="AA41" s="558"/>
      <c r="AB41" s="558"/>
      <c r="AC41" s="558"/>
    </row>
    <row r="42" spans="1:29">
      <c r="B42" s="471" t="s">
        <v>550</v>
      </c>
      <c r="E42" s="461">
        <v>299006</v>
      </c>
      <c r="F42" s="461">
        <v>305163</v>
      </c>
      <c r="G42" s="461">
        <v>300271.67199999996</v>
      </c>
      <c r="H42" s="461">
        <v>305752.26899999997</v>
      </c>
      <c r="I42" s="461"/>
      <c r="J42" s="461"/>
      <c r="K42" s="461"/>
      <c r="L42" s="461"/>
      <c r="M42" s="461"/>
      <c r="N42" s="461"/>
      <c r="O42" s="461"/>
      <c r="P42" s="461"/>
      <c r="Q42" s="461"/>
      <c r="R42" s="461"/>
      <c r="S42" s="461"/>
      <c r="T42" s="461"/>
      <c r="U42" s="461"/>
      <c r="V42" s="461"/>
      <c r="W42" s="461"/>
      <c r="X42" s="461"/>
      <c r="Y42" s="461"/>
      <c r="Z42" s="461"/>
      <c r="AA42" s="461"/>
      <c r="AB42" s="461"/>
      <c r="AC42" s="461"/>
    </row>
    <row r="43" spans="1:29">
      <c r="B43" s="445" t="s">
        <v>551</v>
      </c>
      <c r="E43" s="461">
        <v>-299006</v>
      </c>
      <c r="F43" s="461">
        <v>-305163</v>
      </c>
      <c r="G43" s="465"/>
      <c r="H43" s="465"/>
      <c r="I43" s="465"/>
      <c r="J43" s="465"/>
      <c r="K43" s="465"/>
      <c r="L43" s="465"/>
      <c r="M43" s="465"/>
      <c r="N43" s="465"/>
      <c r="O43" s="465"/>
      <c r="P43" s="465"/>
      <c r="Q43" s="465"/>
      <c r="R43" s="465"/>
      <c r="S43" s="465"/>
      <c r="T43" s="465"/>
      <c r="U43" s="465"/>
      <c r="V43" s="465"/>
      <c r="W43" s="465"/>
      <c r="X43" s="465"/>
      <c r="Y43" s="465"/>
      <c r="Z43" s="465"/>
      <c r="AA43" s="465"/>
    </row>
    <row r="44" spans="1:29">
      <c r="B44" s="553"/>
      <c r="C44" s="553"/>
      <c r="D44" s="553"/>
      <c r="E44" s="560"/>
      <c r="F44" s="560"/>
      <c r="G44" s="560"/>
      <c r="H44" s="560"/>
      <c r="I44" s="560"/>
      <c r="J44" s="560"/>
      <c r="K44" s="560"/>
      <c r="L44" s="560"/>
      <c r="M44" s="560"/>
      <c r="N44" s="560"/>
      <c r="O44" s="560"/>
      <c r="P44" s="560"/>
      <c r="Q44" s="560"/>
      <c r="R44" s="560"/>
      <c r="S44" s="560"/>
      <c r="T44" s="560"/>
      <c r="U44" s="560"/>
      <c r="V44" s="560"/>
      <c r="W44" s="560"/>
      <c r="X44" s="560"/>
      <c r="Y44" s="560"/>
      <c r="Z44" s="560"/>
      <c r="AA44" s="560"/>
    </row>
    <row r="45" spans="1:29">
      <c r="B45" s="488"/>
      <c r="C45" s="460"/>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row>
    <row r="46" spans="1:29">
      <c r="D46" s="519"/>
      <c r="E46" s="469"/>
      <c r="F46" s="469"/>
      <c r="G46" s="469"/>
      <c r="H46" s="469"/>
      <c r="I46" s="469"/>
      <c r="J46" s="469"/>
    </row>
    <row r="47" spans="1:29">
      <c r="B47" s="460"/>
    </row>
    <row r="48" spans="1:29">
      <c r="B48" s="528"/>
      <c r="D48" s="461"/>
    </row>
    <row r="53" spans="2:2" ht="22.5">
      <c r="B53" s="562"/>
    </row>
  </sheetData>
  <conditionalFormatting sqref="A38 C38:XFD38">
    <cfRule type="cellIs" dxfId="0" priority="1" operator="greater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AF93"/>
  <sheetViews>
    <sheetView zoomScale="85" zoomScaleNormal="85" workbookViewId="0">
      <selection activeCell="G18" sqref="G18"/>
    </sheetView>
  </sheetViews>
  <sheetFormatPr defaultColWidth="9.140625" defaultRowHeight="14.25" outlineLevelCol="1"/>
  <cols>
    <col min="1" max="1" width="21.7109375" style="445" customWidth="1"/>
    <col min="2" max="2" width="67.140625" style="445" customWidth="1"/>
    <col min="3" max="3" width="11.5703125" style="445" customWidth="1"/>
    <col min="4" max="4" width="13.5703125" style="445" customWidth="1"/>
    <col min="5" max="10" width="15.28515625" style="445" customWidth="1"/>
    <col min="11" max="11" width="20.85546875" style="445" customWidth="1"/>
    <col min="12" max="12" width="20.28515625" style="445" customWidth="1"/>
    <col min="13" max="13" width="13.42578125" style="445" customWidth="1"/>
    <col min="14" max="14" width="18" style="445" bestFit="1" customWidth="1"/>
    <col min="15" max="15" width="15.28515625" style="445" bestFit="1" customWidth="1"/>
    <col min="16" max="18" width="15.28515625" style="445" customWidth="1" outlineLevel="1"/>
    <col min="19" max="19" width="13.42578125" style="445" customWidth="1" outlineLevel="1"/>
    <col min="20" max="20" width="12.7109375" style="445" customWidth="1" outlineLevel="1"/>
    <col min="21" max="21" width="12.28515625" style="445" customWidth="1" outlineLevel="1"/>
    <col min="22" max="22" width="12.7109375" style="445" customWidth="1" outlineLevel="1"/>
    <col min="23" max="24" width="13.28515625" style="445" customWidth="1" outlineLevel="1"/>
    <col min="25" max="27" width="12.7109375" style="445" customWidth="1" outlineLevel="1"/>
    <col min="28" max="29" width="13.28515625" style="445" customWidth="1" outlineLevel="1"/>
    <col min="30" max="31" width="12.7109375" style="445" customWidth="1" outlineLevel="1"/>
    <col min="32" max="32" width="14.85546875" style="449" bestFit="1" customWidth="1"/>
    <col min="33" max="33" width="14" style="445" bestFit="1" customWidth="1"/>
    <col min="34" max="34" width="18.28515625" style="445" bestFit="1" customWidth="1"/>
    <col min="35" max="35" width="9.5703125" style="445" bestFit="1" customWidth="1"/>
    <col min="36" max="16384" width="9.140625" style="445"/>
  </cols>
  <sheetData>
    <row r="1" spans="1:32" ht="18">
      <c r="A1" s="526" t="s">
        <v>617</v>
      </c>
      <c r="B1" s="526"/>
      <c r="C1" s="526"/>
      <c r="D1" s="526"/>
      <c r="E1" s="526"/>
      <c r="F1" s="526"/>
      <c r="G1" s="526"/>
      <c r="H1" s="526"/>
      <c r="I1" s="526"/>
      <c r="J1" s="526"/>
      <c r="K1" s="526"/>
      <c r="L1" s="526"/>
      <c r="M1" s="526"/>
      <c r="N1" s="526"/>
    </row>
    <row r="2" spans="1:32">
      <c r="A2" s="442"/>
      <c r="B2" s="443"/>
      <c r="D2" s="460"/>
      <c r="H2" s="460"/>
      <c r="K2" s="460"/>
      <c r="M2" s="527"/>
      <c r="N2" s="527"/>
    </row>
    <row r="3" spans="1:32">
      <c r="A3" s="442"/>
      <c r="B3" s="443"/>
      <c r="D3" s="460"/>
      <c r="H3" s="453"/>
      <c r="I3" s="460"/>
      <c r="K3" s="460"/>
    </row>
    <row r="4" spans="1:32">
      <c r="A4" s="442"/>
      <c r="B4" s="443"/>
      <c r="F4" s="449"/>
      <c r="G4" s="524"/>
      <c r="H4" s="493"/>
      <c r="I4" s="479"/>
      <c r="K4" s="479"/>
    </row>
    <row r="5" spans="1:32">
      <c r="A5" s="442"/>
      <c r="B5" s="449"/>
      <c r="F5" s="449"/>
      <c r="G5" s="524"/>
      <c r="H5" s="493"/>
      <c r="I5" s="479"/>
      <c r="K5" s="670"/>
      <c r="N5" s="528"/>
    </row>
    <row r="6" spans="1:32">
      <c r="A6" s="453"/>
      <c r="B6" s="449"/>
      <c r="F6" s="449"/>
      <c r="G6" s="524"/>
      <c r="H6" s="493"/>
      <c r="I6" s="671"/>
      <c r="M6" s="503"/>
      <c r="N6" s="479"/>
    </row>
    <row r="7" spans="1:32" ht="15" customHeight="1">
      <c r="A7" s="453"/>
      <c r="B7" s="449"/>
      <c r="F7" s="449"/>
      <c r="G7" s="524"/>
      <c r="I7" s="461"/>
    </row>
    <row r="8" spans="1:32">
      <c r="A8" s="453" t="s">
        <v>71</v>
      </c>
      <c r="B8" s="449">
        <v>0.65</v>
      </c>
      <c r="H8" s="493"/>
      <c r="I8" s="479"/>
    </row>
    <row r="9" spans="1:32" ht="15" customHeight="1">
      <c r="A9" s="453"/>
      <c r="B9" s="529"/>
      <c r="D9" s="685"/>
      <c r="E9" s="685"/>
      <c r="F9" s="685"/>
      <c r="G9" s="685"/>
      <c r="H9" s="685"/>
      <c r="I9" s="685"/>
      <c r="J9" s="685"/>
      <c r="K9" s="685"/>
      <c r="L9" s="685"/>
      <c r="M9" s="685"/>
    </row>
    <row r="10" spans="1:32" ht="14.25" customHeight="1">
      <c r="A10" s="453" t="s">
        <v>13</v>
      </c>
      <c r="B10" s="449">
        <v>2019</v>
      </c>
      <c r="D10" s="685"/>
      <c r="E10" s="685"/>
      <c r="F10" s="685"/>
      <c r="G10" s="685"/>
      <c r="H10" s="685"/>
      <c r="I10" s="685"/>
      <c r="J10" s="685"/>
      <c r="K10" s="685"/>
      <c r="L10" s="685"/>
      <c r="M10" s="685"/>
    </row>
    <row r="11" spans="1:32" ht="14.25" customHeight="1">
      <c r="A11" s="453" t="s">
        <v>14</v>
      </c>
      <c r="B11" s="449">
        <v>2047</v>
      </c>
      <c r="D11" s="685"/>
      <c r="E11" s="685"/>
      <c r="F11" s="685"/>
      <c r="G11" s="685"/>
      <c r="H11" s="685"/>
      <c r="I11" s="685"/>
      <c r="J11" s="685"/>
      <c r="K11" s="685"/>
      <c r="L11" s="685"/>
      <c r="M11" s="685"/>
    </row>
    <row r="12" spans="1:32">
      <c r="A12" s="672" t="s">
        <v>532</v>
      </c>
      <c r="B12" s="521" t="s">
        <v>453</v>
      </c>
      <c r="C12" s="521">
        <v>2022</v>
      </c>
      <c r="D12" s="521">
        <v>2023</v>
      </c>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449"/>
      <c r="AF12" s="445"/>
    </row>
    <row r="13" spans="1:32">
      <c r="A13" s="672"/>
      <c r="B13" s="451" t="s">
        <v>454</v>
      </c>
      <c r="C13" s="530">
        <v>0</v>
      </c>
      <c r="D13" s="530">
        <v>0</v>
      </c>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449"/>
      <c r="AF13" s="445"/>
    </row>
    <row r="14" spans="1:32">
      <c r="A14" s="672"/>
      <c r="B14" s="451" t="s">
        <v>455</v>
      </c>
      <c r="C14" s="530">
        <v>40000</v>
      </c>
      <c r="D14" s="530">
        <v>40000</v>
      </c>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449"/>
      <c r="AF14" s="445"/>
    </row>
    <row r="15" spans="1:32">
      <c r="AC15" s="449"/>
      <c r="AF15" s="445"/>
    </row>
    <row r="16" spans="1:32">
      <c r="A16" s="458" t="s">
        <v>37</v>
      </c>
      <c r="B16" s="458"/>
      <c r="C16" s="458"/>
      <c r="D16" s="458"/>
      <c r="E16" s="458"/>
      <c r="F16" s="458"/>
      <c r="G16" s="458"/>
      <c r="H16" s="458"/>
      <c r="I16" s="458"/>
      <c r="J16" s="458"/>
      <c r="K16" s="458"/>
      <c r="L16" s="458"/>
      <c r="M16" s="517"/>
      <c r="N16" s="517"/>
      <c r="O16" s="517"/>
      <c r="P16" s="517"/>
      <c r="Q16" s="517"/>
      <c r="R16" s="517"/>
      <c r="S16" s="517"/>
      <c r="T16" s="517"/>
      <c r="U16" s="517"/>
      <c r="V16" s="517"/>
      <c r="W16" s="517"/>
      <c r="X16" s="517"/>
      <c r="Y16" s="517"/>
      <c r="Z16" s="517"/>
      <c r="AA16" s="517"/>
      <c r="AB16" s="517"/>
      <c r="AC16" s="449"/>
      <c r="AF16" s="445"/>
    </row>
    <row r="17" spans="1:32">
      <c r="A17" s="459" t="s">
        <v>15</v>
      </c>
      <c r="B17" s="503" t="s">
        <v>12</v>
      </c>
      <c r="C17" s="503">
        <v>2022</v>
      </c>
      <c r="D17" s="503">
        <v>2023</v>
      </c>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449"/>
      <c r="AD17" s="460" t="s">
        <v>562</v>
      </c>
      <c r="AF17" s="445"/>
    </row>
    <row r="18" spans="1:32">
      <c r="A18" s="459"/>
      <c r="B18" s="531" t="s">
        <v>230</v>
      </c>
      <c r="C18" s="503"/>
      <c r="D18" s="503"/>
      <c r="E18" s="503"/>
      <c r="F18" s="503"/>
      <c r="G18" s="503"/>
      <c r="H18" s="503"/>
      <c r="I18" s="503"/>
      <c r="J18" s="503"/>
      <c r="K18" s="503"/>
      <c r="L18" s="503"/>
      <c r="M18" s="532"/>
      <c r="N18" s="532"/>
      <c r="O18" s="532"/>
      <c r="P18" s="532"/>
      <c r="Q18" s="532"/>
      <c r="R18" s="532"/>
      <c r="S18" s="532"/>
      <c r="T18" s="532"/>
      <c r="U18" s="532"/>
      <c r="V18" s="532"/>
      <c r="W18" s="532"/>
      <c r="X18" s="532"/>
      <c r="Y18" s="532"/>
      <c r="Z18" s="532"/>
      <c r="AA18" s="532"/>
      <c r="AB18" s="532"/>
      <c r="AC18" s="443"/>
      <c r="AD18" s="445" t="s">
        <v>565</v>
      </c>
      <c r="AF18" s="445"/>
    </row>
    <row r="19" spans="1:32">
      <c r="A19" s="533" t="s">
        <v>623</v>
      </c>
      <c r="B19" s="534" t="s">
        <v>629</v>
      </c>
      <c r="C19" s="461">
        <v>43000</v>
      </c>
      <c r="D19" s="461">
        <v>43000</v>
      </c>
      <c r="E19" s="461"/>
      <c r="F19" s="461"/>
      <c r="G19" s="461"/>
      <c r="H19" s="461"/>
      <c r="I19" s="461"/>
      <c r="J19" s="461"/>
      <c r="K19" s="461"/>
      <c r="L19" s="461"/>
      <c r="M19" s="535"/>
      <c r="N19" s="535"/>
      <c r="O19" s="535"/>
      <c r="P19" s="535"/>
      <c r="Q19" s="535"/>
      <c r="R19" s="535"/>
      <c r="S19" s="535"/>
      <c r="T19" s="535"/>
      <c r="U19" s="535"/>
      <c r="V19" s="535"/>
      <c r="W19" s="535"/>
      <c r="X19" s="535"/>
      <c r="Y19" s="535"/>
      <c r="Z19" s="535"/>
      <c r="AA19" s="535"/>
      <c r="AB19" s="535"/>
      <c r="AC19" s="449"/>
      <c r="AD19" s="445" t="s">
        <v>563</v>
      </c>
      <c r="AF19" s="445"/>
    </row>
    <row r="20" spans="1:32">
      <c r="A20" s="533"/>
      <c r="B20" s="534" t="s">
        <v>458</v>
      </c>
      <c r="C20" s="461">
        <v>47824</v>
      </c>
      <c r="D20" s="461">
        <v>51974</v>
      </c>
      <c r="E20" s="461"/>
      <c r="F20" s="461"/>
      <c r="G20" s="461"/>
      <c r="H20" s="461"/>
      <c r="I20" s="461"/>
      <c r="J20" s="461"/>
      <c r="K20" s="461"/>
      <c r="L20" s="461"/>
      <c r="M20" s="535"/>
      <c r="N20" s="535"/>
      <c r="O20" s="535"/>
      <c r="P20" s="535"/>
      <c r="Q20" s="535"/>
      <c r="R20" s="535"/>
      <c r="S20" s="535"/>
      <c r="T20" s="535"/>
      <c r="U20" s="535"/>
      <c r="V20" s="535"/>
      <c r="W20" s="535"/>
      <c r="X20" s="535"/>
      <c r="Y20" s="535"/>
      <c r="Z20" s="535"/>
      <c r="AA20" s="535"/>
      <c r="AB20" s="535"/>
      <c r="AC20" s="449"/>
      <c r="AD20" s="445" t="s">
        <v>564</v>
      </c>
      <c r="AF20" s="445"/>
    </row>
    <row r="21" spans="1:32">
      <c r="A21" s="533"/>
      <c r="B21" s="534" t="s">
        <v>459</v>
      </c>
      <c r="C21" s="461">
        <v>216296</v>
      </c>
      <c r="D21" s="461">
        <v>229286</v>
      </c>
      <c r="E21" s="461"/>
      <c r="F21" s="461"/>
      <c r="G21" s="461"/>
      <c r="H21" s="461"/>
      <c r="I21" s="461"/>
      <c r="J21" s="461"/>
      <c r="K21" s="461"/>
      <c r="L21" s="461"/>
      <c r="M21" s="535"/>
      <c r="N21" s="535"/>
      <c r="O21" s="535"/>
      <c r="P21" s="535"/>
      <c r="Q21" s="535"/>
      <c r="R21" s="535"/>
      <c r="S21" s="535"/>
      <c r="T21" s="535"/>
      <c r="U21" s="535"/>
      <c r="V21" s="535"/>
      <c r="W21" s="535"/>
      <c r="X21" s="535"/>
      <c r="Y21" s="535"/>
      <c r="Z21" s="535"/>
      <c r="AA21" s="535"/>
      <c r="AB21" s="535"/>
      <c r="AC21" s="449"/>
      <c r="AD21" s="445" t="s">
        <v>566</v>
      </c>
      <c r="AF21" s="445"/>
    </row>
    <row r="22" spans="1:32">
      <c r="A22" s="533"/>
      <c r="B22" s="534" t="s">
        <v>630</v>
      </c>
      <c r="C22" s="461">
        <v>4300</v>
      </c>
      <c r="D22" s="461">
        <v>2600</v>
      </c>
      <c r="E22" s="461"/>
      <c r="F22" s="461"/>
      <c r="G22" s="461"/>
      <c r="H22" s="461"/>
      <c r="I22" s="461"/>
      <c r="J22" s="461"/>
      <c r="K22" s="461"/>
      <c r="L22" s="461"/>
      <c r="M22" s="535"/>
      <c r="N22" s="535"/>
      <c r="O22" s="535"/>
      <c r="P22" s="535"/>
      <c r="Q22" s="535"/>
      <c r="R22" s="535"/>
      <c r="S22" s="535"/>
      <c r="T22" s="535"/>
      <c r="U22" s="535"/>
      <c r="V22" s="535"/>
      <c r="W22" s="535"/>
      <c r="X22" s="535"/>
      <c r="Y22" s="535"/>
      <c r="Z22" s="535"/>
      <c r="AA22" s="535"/>
      <c r="AB22" s="535"/>
      <c r="AC22" s="449"/>
      <c r="AD22" s="445" t="s">
        <v>567</v>
      </c>
      <c r="AF22" s="445"/>
    </row>
    <row r="23" spans="1:32">
      <c r="A23" s="533"/>
      <c r="B23" s="534" t="s">
        <v>631</v>
      </c>
      <c r="C23" s="461"/>
      <c r="D23" s="461"/>
      <c r="E23" s="461"/>
      <c r="F23" s="461"/>
      <c r="G23" s="461"/>
      <c r="H23" s="461"/>
      <c r="I23" s="461"/>
      <c r="J23" s="461"/>
      <c r="K23" s="461"/>
      <c r="L23" s="461"/>
      <c r="M23" s="535"/>
      <c r="N23" s="535"/>
      <c r="O23" s="535"/>
      <c r="P23" s="535"/>
      <c r="Q23" s="535"/>
      <c r="R23" s="535"/>
      <c r="S23" s="535"/>
      <c r="T23" s="535"/>
      <c r="U23" s="535"/>
      <c r="V23" s="535"/>
      <c r="W23" s="535"/>
      <c r="X23" s="535"/>
      <c r="Y23" s="535"/>
      <c r="Z23" s="535"/>
      <c r="AA23" s="535"/>
      <c r="AB23" s="535"/>
      <c r="AC23" s="449"/>
      <c r="AF23" s="445"/>
    </row>
    <row r="24" spans="1:32">
      <c r="A24" s="533"/>
      <c r="B24" s="534" t="s">
        <v>619</v>
      </c>
      <c r="C24" s="461">
        <v>10823</v>
      </c>
      <c r="D24" s="461">
        <v>11286</v>
      </c>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49"/>
      <c r="AF24" s="445"/>
    </row>
    <row r="25" spans="1:32">
      <c r="A25" s="533"/>
      <c r="B25" s="534" t="s">
        <v>620</v>
      </c>
      <c r="C25" s="461">
        <v>181.91177999999999</v>
      </c>
      <c r="D25" s="461">
        <v>183.00268000000003</v>
      </c>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49"/>
      <c r="AF25" s="445"/>
    </row>
    <row r="26" spans="1:32">
      <c r="A26" s="533"/>
      <c r="B26" s="524" t="s">
        <v>637</v>
      </c>
      <c r="C26" s="461">
        <v>322424.91178000002</v>
      </c>
      <c r="D26" s="461">
        <v>338329.00267999998</v>
      </c>
      <c r="E26" s="461"/>
      <c r="F26" s="461"/>
      <c r="G26" s="461"/>
      <c r="H26" s="461"/>
      <c r="I26" s="461"/>
      <c r="J26" s="461"/>
      <c r="K26" s="461"/>
      <c r="L26" s="461"/>
      <c r="M26" s="461"/>
      <c r="N26" s="461"/>
      <c r="O26" s="461"/>
      <c r="P26" s="461"/>
      <c r="Q26" s="535"/>
      <c r="R26" s="535"/>
      <c r="S26" s="535"/>
      <c r="T26" s="535"/>
      <c r="U26" s="535"/>
      <c r="V26" s="535"/>
      <c r="W26" s="535"/>
      <c r="X26" s="535"/>
      <c r="Y26" s="535"/>
      <c r="Z26" s="535"/>
      <c r="AA26" s="535"/>
      <c r="AB26" s="535"/>
      <c r="AC26" s="449"/>
      <c r="AF26" s="445"/>
    </row>
    <row r="27" spans="1:32">
      <c r="A27" s="533"/>
      <c r="B27" s="503"/>
      <c r="C27" s="503"/>
      <c r="D27" s="503"/>
      <c r="E27" s="503"/>
      <c r="F27" s="503"/>
      <c r="G27" s="503"/>
      <c r="H27" s="503"/>
      <c r="I27" s="503"/>
      <c r="J27" s="503"/>
      <c r="K27" s="503"/>
      <c r="L27" s="503"/>
      <c r="M27" s="503"/>
      <c r="N27" s="503"/>
      <c r="O27" s="505"/>
      <c r="P27" s="505"/>
      <c r="Q27" s="505"/>
      <c r="R27" s="505"/>
      <c r="S27" s="505"/>
      <c r="T27" s="505"/>
      <c r="U27" s="505"/>
      <c r="V27" s="505"/>
      <c r="W27" s="505"/>
      <c r="X27" s="505"/>
      <c r="Y27" s="505"/>
      <c r="Z27" s="505"/>
      <c r="AA27" s="505"/>
      <c r="AB27" s="505"/>
      <c r="AC27" s="449"/>
      <c r="AF27" s="445"/>
    </row>
    <row r="28" spans="1:32">
      <c r="A28" s="533"/>
      <c r="B28" s="531" t="s">
        <v>69</v>
      </c>
      <c r="C28" s="503">
        <v>2022</v>
      </c>
      <c r="D28" s="503">
        <v>2023</v>
      </c>
      <c r="E28" s="503"/>
      <c r="F28" s="503"/>
      <c r="G28" s="503"/>
      <c r="H28" s="503"/>
      <c r="I28" s="503"/>
      <c r="J28" s="503"/>
      <c r="K28" s="503"/>
      <c r="L28" s="503"/>
      <c r="M28" s="503"/>
      <c r="N28" s="503"/>
      <c r="O28" s="536"/>
      <c r="P28" s="536"/>
      <c r="Q28" s="536"/>
      <c r="R28" s="536"/>
      <c r="S28" s="536"/>
      <c r="T28" s="536"/>
      <c r="U28" s="536"/>
      <c r="V28" s="536"/>
      <c r="W28" s="536"/>
      <c r="X28" s="536"/>
      <c r="Y28" s="536"/>
      <c r="Z28" s="536"/>
      <c r="AA28" s="536"/>
      <c r="AB28" s="536"/>
      <c r="AC28" s="449"/>
      <c r="AF28" s="445"/>
    </row>
    <row r="29" spans="1:32">
      <c r="A29" s="533"/>
      <c r="B29" s="534" t="s">
        <v>624</v>
      </c>
      <c r="C29" s="461">
        <v>12243.653211512179</v>
      </c>
      <c r="D29" s="461">
        <v>6078.6527017483031</v>
      </c>
      <c r="E29" s="461"/>
      <c r="F29" s="461"/>
      <c r="G29" s="461"/>
      <c r="H29" s="461"/>
      <c r="I29" s="461"/>
      <c r="J29" s="461"/>
      <c r="K29" s="461"/>
      <c r="L29" s="461"/>
      <c r="M29" s="461"/>
      <c r="N29" s="461"/>
      <c r="O29" s="461"/>
      <c r="P29" s="461"/>
      <c r="Q29" s="535"/>
      <c r="R29" s="535"/>
      <c r="S29" s="535"/>
      <c r="T29" s="535"/>
      <c r="U29" s="535"/>
      <c r="V29" s="535"/>
      <c r="W29" s="535"/>
      <c r="X29" s="535"/>
      <c r="Y29" s="535"/>
      <c r="Z29" s="535"/>
      <c r="AA29" s="535"/>
      <c r="AB29" s="535"/>
      <c r="AC29" s="449"/>
      <c r="AD29" s="445" t="s">
        <v>568</v>
      </c>
      <c r="AF29" s="445"/>
    </row>
    <row r="30" spans="1:32">
      <c r="A30" s="533"/>
      <c r="B30" s="534" t="s">
        <v>625</v>
      </c>
      <c r="C30" s="461">
        <v>48974.612846048716</v>
      </c>
      <c r="D30" s="461">
        <v>72943.832420979641</v>
      </c>
      <c r="E30" s="461"/>
      <c r="F30" s="461"/>
      <c r="G30" s="461"/>
      <c r="H30" s="461"/>
      <c r="I30" s="461"/>
      <c r="J30" s="461"/>
      <c r="K30" s="461"/>
      <c r="L30" s="461"/>
      <c r="M30" s="461"/>
      <c r="N30" s="461"/>
      <c r="O30" s="461"/>
      <c r="P30" s="461"/>
      <c r="Q30" s="535"/>
      <c r="R30" s="535"/>
      <c r="S30" s="535"/>
      <c r="T30" s="535"/>
      <c r="U30" s="535"/>
      <c r="V30" s="535"/>
      <c r="W30" s="535"/>
      <c r="X30" s="535"/>
      <c r="Y30" s="535"/>
      <c r="Z30" s="535"/>
      <c r="AA30" s="535"/>
      <c r="AB30" s="535"/>
      <c r="AC30" s="449"/>
      <c r="AD30" s="445" t="s">
        <v>569</v>
      </c>
      <c r="AF30" s="445"/>
    </row>
    <row r="31" spans="1:32">
      <c r="A31" s="533"/>
      <c r="B31" s="534" t="s">
        <v>626</v>
      </c>
      <c r="C31" s="461">
        <v>331803.00203198002</v>
      </c>
      <c r="D31" s="461">
        <v>299556.00514215638</v>
      </c>
      <c r="E31" s="461"/>
      <c r="F31" s="461"/>
      <c r="G31" s="461"/>
      <c r="H31" s="461"/>
      <c r="I31" s="461"/>
      <c r="J31" s="461"/>
      <c r="K31" s="461"/>
      <c r="L31" s="461"/>
      <c r="M31" s="461"/>
      <c r="N31" s="461"/>
      <c r="O31" s="461"/>
      <c r="P31" s="461"/>
      <c r="Q31" s="535"/>
      <c r="R31" s="535"/>
      <c r="S31" s="535"/>
      <c r="T31" s="535"/>
      <c r="U31" s="535"/>
      <c r="V31" s="535"/>
      <c r="W31" s="535"/>
      <c r="X31" s="535"/>
      <c r="Y31" s="535"/>
      <c r="Z31" s="535"/>
      <c r="AA31" s="535"/>
      <c r="AB31" s="535"/>
      <c r="AC31" s="449"/>
      <c r="AD31" s="445" t="s">
        <v>570</v>
      </c>
      <c r="AF31" s="445"/>
    </row>
    <row r="32" spans="1:32">
      <c r="A32" s="533"/>
      <c r="B32" s="534" t="s">
        <v>627</v>
      </c>
      <c r="C32" s="461">
        <v>85950.445544815477</v>
      </c>
      <c r="D32" s="461">
        <v>117925.86241391709</v>
      </c>
      <c r="E32" s="461"/>
      <c r="F32" s="461"/>
      <c r="G32" s="461"/>
      <c r="H32" s="461"/>
      <c r="I32" s="461"/>
      <c r="J32" s="461"/>
      <c r="K32" s="461"/>
      <c r="L32" s="461"/>
      <c r="M32" s="461"/>
      <c r="N32" s="461"/>
      <c r="O32" s="461"/>
      <c r="P32" s="461"/>
      <c r="Q32" s="535"/>
      <c r="R32" s="535"/>
      <c r="S32" s="535"/>
      <c r="T32" s="535"/>
      <c r="U32" s="535"/>
      <c r="V32" s="535"/>
      <c r="W32" s="535"/>
      <c r="X32" s="535"/>
      <c r="Y32" s="535"/>
      <c r="Z32" s="535"/>
      <c r="AA32" s="535"/>
      <c r="AB32" s="535"/>
      <c r="AC32" s="537"/>
      <c r="AD32" s="445" t="s">
        <v>571</v>
      </c>
      <c r="AF32" s="445"/>
    </row>
    <row r="33" spans="1:32">
      <c r="A33" s="533"/>
      <c r="B33" s="534" t="s">
        <v>628</v>
      </c>
      <c r="C33" s="461">
        <v>6831.9584920237949</v>
      </c>
      <c r="D33" s="461">
        <v>6795.9337205546035</v>
      </c>
      <c r="E33" s="461"/>
      <c r="F33" s="461"/>
      <c r="G33" s="461"/>
      <c r="H33" s="461"/>
      <c r="I33" s="461"/>
      <c r="J33" s="461"/>
      <c r="K33" s="461"/>
      <c r="L33" s="461"/>
      <c r="M33" s="461"/>
      <c r="N33" s="461"/>
      <c r="O33" s="461"/>
      <c r="P33" s="461"/>
      <c r="Q33" s="535"/>
      <c r="R33" s="535"/>
      <c r="S33" s="535"/>
      <c r="T33" s="535"/>
      <c r="U33" s="535"/>
      <c r="V33" s="535"/>
      <c r="W33" s="535"/>
      <c r="X33" s="535"/>
      <c r="Y33" s="535"/>
      <c r="Z33" s="535"/>
      <c r="AA33" s="535"/>
      <c r="AB33" s="535"/>
      <c r="AC33" s="449"/>
      <c r="AD33" s="445" t="s">
        <v>572</v>
      </c>
      <c r="AF33" s="445"/>
    </row>
    <row r="34" spans="1:32">
      <c r="A34" s="533"/>
      <c r="B34" s="478" t="s">
        <v>67</v>
      </c>
      <c r="C34" s="461">
        <v>55096.439451804799</v>
      </c>
      <c r="D34" s="461">
        <v>60786.527017483037</v>
      </c>
      <c r="E34" s="461"/>
      <c r="F34" s="461"/>
      <c r="G34" s="461"/>
      <c r="H34" s="461"/>
      <c r="I34" s="461"/>
      <c r="J34" s="461"/>
      <c r="K34" s="461"/>
      <c r="L34" s="461"/>
      <c r="M34" s="461"/>
      <c r="N34" s="461"/>
      <c r="O34" s="461"/>
      <c r="P34" s="461"/>
      <c r="Q34" s="535"/>
      <c r="R34" s="535"/>
      <c r="S34" s="535"/>
      <c r="T34" s="535"/>
      <c r="U34" s="535"/>
      <c r="V34" s="535"/>
      <c r="W34" s="535"/>
      <c r="X34" s="535"/>
      <c r="Y34" s="535"/>
      <c r="Z34" s="535"/>
      <c r="AA34" s="535"/>
      <c r="AB34" s="535"/>
      <c r="AC34" s="449"/>
      <c r="AD34" s="445" t="s">
        <v>573</v>
      </c>
      <c r="AF34" s="445"/>
    </row>
    <row r="35" spans="1:32">
      <c r="A35" s="533"/>
      <c r="B35" s="534" t="s">
        <v>622</v>
      </c>
      <c r="C35" s="461">
        <v>-35699.999994999998</v>
      </c>
      <c r="D35" s="461">
        <v>-37700.000001</v>
      </c>
      <c r="E35" s="461"/>
      <c r="F35" s="461"/>
      <c r="G35" s="461"/>
      <c r="H35" s="461"/>
      <c r="I35" s="461"/>
      <c r="J35" s="461"/>
      <c r="K35" s="461"/>
      <c r="L35" s="461"/>
      <c r="M35" s="461"/>
      <c r="N35" s="461"/>
      <c r="O35" s="461"/>
      <c r="P35" s="461"/>
      <c r="Q35" s="535"/>
      <c r="R35" s="535"/>
      <c r="S35" s="535"/>
      <c r="T35" s="535"/>
      <c r="U35" s="535"/>
      <c r="V35" s="535"/>
      <c r="W35" s="535"/>
      <c r="X35" s="535"/>
      <c r="Y35" s="535"/>
      <c r="Z35" s="535"/>
      <c r="AA35" s="535"/>
      <c r="AB35" s="535"/>
      <c r="AC35" s="449"/>
      <c r="AD35" s="445" t="s">
        <v>632</v>
      </c>
      <c r="AF35" s="445"/>
    </row>
    <row r="36" spans="1:32">
      <c r="A36" s="533"/>
      <c r="B36" s="534" t="s">
        <v>354</v>
      </c>
      <c r="C36" s="461">
        <v>15807.757655230949</v>
      </c>
      <c r="D36" s="461">
        <v>15844.553262180472</v>
      </c>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49"/>
      <c r="AF36" s="445"/>
    </row>
    <row r="37" spans="1:32">
      <c r="A37" s="533"/>
      <c r="B37" s="534" t="s">
        <v>355</v>
      </c>
      <c r="C37" s="461">
        <v>129.40902</v>
      </c>
      <c r="D37" s="461">
        <v>171.65512000000001</v>
      </c>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49"/>
      <c r="AF37" s="445"/>
    </row>
    <row r="38" spans="1:32">
      <c r="A38" s="533"/>
      <c r="B38" s="524" t="s">
        <v>638</v>
      </c>
      <c r="C38" s="461">
        <v>521137.27825841593</v>
      </c>
      <c r="D38" s="461">
        <v>542403.02179801941</v>
      </c>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49"/>
      <c r="AF38" s="445"/>
    </row>
    <row r="39" spans="1:32">
      <c r="A39" s="533"/>
      <c r="B39" s="524"/>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49"/>
      <c r="AF39" s="445"/>
    </row>
    <row r="40" spans="1:32">
      <c r="A40" s="533"/>
      <c r="B40" s="531" t="s">
        <v>68</v>
      </c>
      <c r="C40" s="503">
        <v>2022</v>
      </c>
      <c r="D40" s="503">
        <v>2023</v>
      </c>
      <c r="E40" s="503"/>
      <c r="F40" s="503"/>
      <c r="G40" s="503"/>
      <c r="H40" s="503"/>
      <c r="I40" s="503"/>
      <c r="J40" s="503"/>
      <c r="K40" s="503"/>
      <c r="L40" s="503"/>
      <c r="M40" s="503"/>
      <c r="N40" s="503"/>
      <c r="O40" s="536"/>
      <c r="P40" s="536"/>
      <c r="Q40" s="536"/>
      <c r="R40" s="536"/>
      <c r="S40" s="536"/>
      <c r="T40" s="536"/>
      <c r="U40" s="536"/>
      <c r="V40" s="536"/>
      <c r="W40" s="536"/>
      <c r="X40" s="536"/>
      <c r="Y40" s="536"/>
      <c r="Z40" s="536"/>
      <c r="AA40" s="536"/>
      <c r="AB40" s="536"/>
      <c r="AC40" s="449"/>
      <c r="AF40" s="445"/>
    </row>
    <row r="41" spans="1:32">
      <c r="A41" s="533"/>
      <c r="B41" s="465" t="s">
        <v>633</v>
      </c>
      <c r="C41" s="461">
        <v>0</v>
      </c>
      <c r="D41" s="461">
        <v>0</v>
      </c>
      <c r="E41" s="461"/>
      <c r="F41" s="461"/>
      <c r="G41" s="461"/>
      <c r="H41" s="461"/>
      <c r="I41" s="461"/>
      <c r="J41" s="461"/>
      <c r="K41" s="461"/>
      <c r="L41" s="461"/>
      <c r="M41" s="461"/>
      <c r="N41" s="461"/>
      <c r="O41" s="461"/>
      <c r="P41" s="461"/>
      <c r="Q41" s="535"/>
      <c r="R41" s="535"/>
      <c r="S41" s="535"/>
      <c r="T41" s="535"/>
      <c r="U41" s="535"/>
      <c r="V41" s="535"/>
      <c r="W41" s="535"/>
      <c r="X41" s="535"/>
      <c r="Y41" s="535"/>
      <c r="Z41" s="535"/>
      <c r="AA41" s="535"/>
      <c r="AB41" s="535"/>
      <c r="AC41" s="449"/>
      <c r="AD41" s="445" t="s">
        <v>574</v>
      </c>
      <c r="AF41" s="445"/>
    </row>
    <row r="42" spans="1:32">
      <c r="A42" s="533"/>
      <c r="B42" s="465" t="s">
        <v>634</v>
      </c>
      <c r="C42" s="461">
        <v>4428</v>
      </c>
      <c r="D42" s="461">
        <v>8628</v>
      </c>
      <c r="E42" s="461"/>
      <c r="F42" s="461"/>
      <c r="G42" s="461"/>
      <c r="H42" s="461"/>
      <c r="I42" s="461"/>
      <c r="J42" s="461"/>
      <c r="K42" s="461"/>
      <c r="L42" s="461"/>
      <c r="M42" s="461"/>
      <c r="N42" s="461"/>
      <c r="O42" s="461"/>
      <c r="P42" s="461"/>
      <c r="Q42" s="535"/>
      <c r="R42" s="535"/>
      <c r="S42" s="535"/>
      <c r="T42" s="535"/>
      <c r="U42" s="535"/>
      <c r="V42" s="535"/>
      <c r="W42" s="535"/>
      <c r="X42" s="535"/>
      <c r="Y42" s="535"/>
      <c r="Z42" s="535"/>
      <c r="AA42" s="535"/>
      <c r="AB42" s="535"/>
      <c r="AC42" s="449"/>
      <c r="AD42" s="445" t="s">
        <v>575</v>
      </c>
      <c r="AF42" s="445"/>
    </row>
    <row r="43" spans="1:32">
      <c r="A43" s="533"/>
      <c r="B43" s="465" t="s">
        <v>635</v>
      </c>
      <c r="C43" s="461">
        <v>3200</v>
      </c>
      <c r="D43" s="461">
        <v>3600</v>
      </c>
      <c r="E43" s="461"/>
      <c r="F43" s="461"/>
      <c r="G43" s="461"/>
      <c r="H43" s="461"/>
      <c r="I43" s="461"/>
      <c r="J43" s="461"/>
      <c r="K43" s="461"/>
      <c r="L43" s="461"/>
      <c r="M43" s="461"/>
      <c r="N43" s="461"/>
      <c r="O43" s="461"/>
      <c r="P43" s="461"/>
      <c r="Q43" s="535"/>
      <c r="R43" s="535"/>
      <c r="S43" s="535"/>
      <c r="T43" s="535"/>
      <c r="U43" s="535"/>
      <c r="V43" s="535"/>
      <c r="W43" s="535"/>
      <c r="X43" s="535"/>
      <c r="Y43" s="535"/>
      <c r="Z43" s="535"/>
      <c r="AA43" s="535"/>
      <c r="AB43" s="535"/>
      <c r="AC43" s="449"/>
      <c r="AD43" s="445" t="s">
        <v>576</v>
      </c>
      <c r="AF43" s="445"/>
    </row>
    <row r="44" spans="1:32">
      <c r="A44" s="533"/>
      <c r="B44" s="465" t="s">
        <v>636</v>
      </c>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49"/>
      <c r="AF44" s="445"/>
    </row>
    <row r="45" spans="1:32">
      <c r="B45" s="524" t="s">
        <v>639</v>
      </c>
      <c r="C45" s="461">
        <v>7628</v>
      </c>
      <c r="D45" s="461">
        <v>12228</v>
      </c>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49"/>
      <c r="AF45" s="445"/>
    </row>
    <row r="46" spans="1:32">
      <c r="D46" s="470"/>
      <c r="E46" s="461"/>
      <c r="F46" s="461"/>
      <c r="G46" s="461"/>
      <c r="H46" s="461"/>
      <c r="I46" s="461"/>
      <c r="J46" s="461"/>
      <c r="K46" s="461"/>
      <c r="L46" s="461"/>
      <c r="M46" s="461"/>
      <c r="N46" s="461"/>
      <c r="O46" s="461"/>
    </row>
    <row r="47" spans="1:32">
      <c r="A47" s="517" t="s">
        <v>70</v>
      </c>
      <c r="B47" s="517"/>
      <c r="C47" s="517"/>
      <c r="D47" s="517"/>
      <c r="E47" s="517"/>
      <c r="F47" s="517"/>
      <c r="G47" s="517"/>
      <c r="H47" s="517"/>
      <c r="I47" s="517"/>
      <c r="J47" s="517"/>
      <c r="K47" s="517"/>
      <c r="L47" s="517"/>
      <c r="M47" s="517"/>
      <c r="N47" s="517"/>
      <c r="O47" s="517"/>
      <c r="P47" s="517"/>
      <c r="Q47" s="517"/>
      <c r="R47" s="517"/>
      <c r="S47" s="517" t="s">
        <v>457</v>
      </c>
      <c r="T47" s="517"/>
      <c r="U47" s="517"/>
      <c r="V47" s="517"/>
      <c r="W47" s="517"/>
      <c r="X47" s="517"/>
      <c r="Y47" s="517"/>
      <c r="Z47" s="517"/>
      <c r="AA47" s="517"/>
      <c r="AB47" s="517"/>
      <c r="AC47" s="517"/>
      <c r="AD47" s="517"/>
      <c r="AE47" s="517"/>
    </row>
    <row r="48" spans="1:32">
      <c r="A48" s="459" t="s">
        <v>15</v>
      </c>
      <c r="B48" s="503" t="s">
        <v>12</v>
      </c>
      <c r="C48" s="503">
        <v>2022</v>
      </c>
      <c r="D48" s="503">
        <v>2023</v>
      </c>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449"/>
      <c r="AF48" s="445"/>
    </row>
    <row r="49" spans="1:32">
      <c r="A49" s="459"/>
      <c r="B49" s="531" t="s">
        <v>231</v>
      </c>
      <c r="C49" s="503"/>
      <c r="D49" s="503"/>
      <c r="E49" s="503"/>
      <c r="F49" s="503"/>
      <c r="G49" s="503"/>
      <c r="H49" s="503"/>
      <c r="I49" s="503"/>
      <c r="J49" s="503"/>
      <c r="K49" s="503"/>
      <c r="L49" s="503"/>
      <c r="M49" s="503"/>
      <c r="N49" s="503"/>
      <c r="O49" s="532"/>
      <c r="P49" s="532"/>
      <c r="Q49" s="532"/>
      <c r="R49" s="532"/>
      <c r="S49" s="532"/>
      <c r="T49" s="532"/>
      <c r="U49" s="532"/>
      <c r="V49" s="532"/>
      <c r="W49" s="532"/>
      <c r="X49" s="532"/>
      <c r="Y49" s="532"/>
      <c r="Z49" s="532"/>
      <c r="AA49" s="532"/>
      <c r="AB49" s="532"/>
      <c r="AC49" s="449"/>
      <c r="AF49" s="445"/>
    </row>
    <row r="50" spans="1:32">
      <c r="A50" s="533" t="s">
        <v>232</v>
      </c>
      <c r="B50" s="484" t="s">
        <v>358</v>
      </c>
      <c r="C50" s="461">
        <v>4958.2</v>
      </c>
      <c r="D50" s="461">
        <v>7948.2</v>
      </c>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49"/>
      <c r="AF50" s="445"/>
    </row>
    <row r="51" spans="1:32">
      <c r="A51" s="533"/>
      <c r="B51" s="484" t="s">
        <v>359</v>
      </c>
      <c r="C51" s="461">
        <v>15807.757655230949</v>
      </c>
      <c r="D51" s="461">
        <v>15844.553262180472</v>
      </c>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49"/>
      <c r="AF51" s="445"/>
    </row>
    <row r="52" spans="1:32">
      <c r="A52" s="533"/>
      <c r="B52" s="445" t="s">
        <v>360</v>
      </c>
      <c r="C52" s="461">
        <v>20765.957655230948</v>
      </c>
      <c r="D52" s="461">
        <v>23792.753262180471</v>
      </c>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49"/>
      <c r="AF52" s="445"/>
    </row>
    <row r="53" spans="1:32">
      <c r="A53" s="533"/>
      <c r="B53" s="445" t="s">
        <v>347</v>
      </c>
      <c r="C53" s="461">
        <v>6831.9584920237949</v>
      </c>
      <c r="D53" s="461">
        <v>6795.9337205546035</v>
      </c>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49"/>
      <c r="AF53" s="445"/>
    </row>
    <row r="54" spans="1:32">
      <c r="A54" s="533"/>
      <c r="B54" s="478" t="s">
        <v>344</v>
      </c>
      <c r="C54" s="461">
        <v>443271.71363935637</v>
      </c>
      <c r="D54" s="461">
        <v>458804.35267780139</v>
      </c>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49"/>
      <c r="AE54" s="469"/>
      <c r="AF54" s="445"/>
    </row>
    <row r="55" spans="1:32">
      <c r="A55" s="533"/>
      <c r="B55" s="538" t="s">
        <v>345</v>
      </c>
      <c r="C55" s="506">
        <v>0</v>
      </c>
      <c r="D55" s="506">
        <v>0</v>
      </c>
      <c r="E55" s="506"/>
      <c r="F55" s="506"/>
      <c r="G55" s="506"/>
      <c r="H55" s="461"/>
      <c r="I55" s="461"/>
      <c r="J55" s="461"/>
      <c r="K55" s="461"/>
      <c r="L55" s="461"/>
      <c r="M55" s="461"/>
      <c r="N55" s="461"/>
      <c r="O55" s="461"/>
      <c r="P55" s="461"/>
      <c r="Q55" s="461"/>
      <c r="R55" s="461"/>
      <c r="S55" s="461"/>
      <c r="T55" s="461"/>
      <c r="U55" s="461"/>
      <c r="V55" s="461"/>
      <c r="W55" s="461"/>
      <c r="X55" s="461"/>
      <c r="Y55" s="461"/>
      <c r="Z55" s="461"/>
      <c r="AA55" s="461"/>
      <c r="AB55" s="461"/>
      <c r="AC55" s="449"/>
      <c r="AF55" s="445"/>
    </row>
    <row r="56" spans="1:32">
      <c r="A56" s="533"/>
      <c r="B56" s="538" t="s">
        <v>456</v>
      </c>
      <c r="C56" s="506">
        <v>-40000</v>
      </c>
      <c r="D56" s="506">
        <v>-40000</v>
      </c>
      <c r="E56" s="506"/>
      <c r="F56" s="506"/>
      <c r="G56" s="506"/>
      <c r="H56" s="461"/>
      <c r="I56" s="461"/>
      <c r="J56" s="461"/>
      <c r="K56" s="461"/>
      <c r="L56" s="461"/>
      <c r="M56" s="461"/>
      <c r="N56" s="461"/>
      <c r="O56" s="461"/>
      <c r="P56" s="461"/>
      <c r="Q56" s="461"/>
      <c r="R56" s="461"/>
      <c r="S56" s="461"/>
      <c r="T56" s="461"/>
      <c r="U56" s="461"/>
      <c r="V56" s="461"/>
      <c r="W56" s="461"/>
      <c r="X56" s="461"/>
      <c r="Y56" s="461"/>
      <c r="Z56" s="461"/>
      <c r="AA56" s="461"/>
      <c r="AB56" s="461"/>
      <c r="AC56" s="449"/>
      <c r="AF56" s="445"/>
    </row>
    <row r="57" spans="1:32">
      <c r="A57" s="533"/>
      <c r="B57" s="478" t="s">
        <v>353</v>
      </c>
      <c r="C57" s="461">
        <v>403271.71363935637</v>
      </c>
      <c r="D57" s="461">
        <v>418804.35267780139</v>
      </c>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49"/>
      <c r="AF57" s="445"/>
    </row>
    <row r="58" spans="1:32">
      <c r="A58" s="533"/>
      <c r="B58" s="518" t="s">
        <v>346</v>
      </c>
      <c r="C58" s="471">
        <v>430869.62978661113</v>
      </c>
      <c r="D58" s="471">
        <v>449393.03966053645</v>
      </c>
      <c r="E58" s="471"/>
      <c r="F58" s="471"/>
      <c r="G58" s="471"/>
      <c r="H58" s="471"/>
      <c r="I58" s="471"/>
      <c r="J58" s="471"/>
      <c r="K58" s="471"/>
      <c r="L58" s="471"/>
      <c r="M58" s="471"/>
      <c r="N58" s="471"/>
      <c r="O58" s="471"/>
      <c r="P58" s="471"/>
      <c r="Q58" s="471"/>
      <c r="R58" s="471"/>
      <c r="S58" s="471"/>
      <c r="T58" s="471"/>
      <c r="U58" s="471"/>
      <c r="V58" s="471"/>
      <c r="W58" s="471"/>
      <c r="X58" s="471"/>
      <c r="Y58" s="471"/>
      <c r="Z58" s="471"/>
      <c r="AA58" s="471"/>
      <c r="AB58" s="471"/>
      <c r="AC58" s="537"/>
      <c r="AF58" s="445"/>
    </row>
    <row r="59" spans="1:32">
      <c r="A59" s="533"/>
      <c r="B59" s="539" t="s">
        <v>645</v>
      </c>
      <c r="C59" s="461">
        <v>55096.439451804799</v>
      </c>
      <c r="D59" s="461">
        <v>60786.527017483037</v>
      </c>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537"/>
      <c r="AF59" s="445"/>
    </row>
    <row r="60" spans="1:32">
      <c r="A60" s="533"/>
      <c r="B60" s="484" t="s">
        <v>345</v>
      </c>
      <c r="C60" s="461">
        <v>0</v>
      </c>
      <c r="D60" s="461">
        <v>0</v>
      </c>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49"/>
      <c r="AF60" s="445"/>
    </row>
    <row r="61" spans="1:32">
      <c r="A61" s="533"/>
      <c r="B61" s="484" t="s">
        <v>456</v>
      </c>
      <c r="C61" s="461">
        <v>40000</v>
      </c>
      <c r="D61" s="461">
        <v>40000</v>
      </c>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49"/>
      <c r="AF61" s="461"/>
    </row>
    <row r="62" spans="1:32">
      <c r="A62" s="533"/>
      <c r="B62" s="445" t="s">
        <v>618</v>
      </c>
      <c r="C62" s="461">
        <v>525966.06923841592</v>
      </c>
      <c r="D62" s="461">
        <v>550179.56667801947</v>
      </c>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49"/>
      <c r="AF62" s="461"/>
    </row>
    <row r="63" spans="1:32">
      <c r="A63" s="533"/>
      <c r="B63" s="460"/>
      <c r="C63" s="471"/>
      <c r="D63" s="471"/>
      <c r="E63" s="471"/>
      <c r="F63" s="471"/>
      <c r="G63" s="471"/>
      <c r="H63" s="471"/>
      <c r="I63" s="471"/>
      <c r="J63" s="471"/>
      <c r="K63" s="471"/>
      <c r="L63" s="471"/>
      <c r="M63" s="471"/>
      <c r="N63" s="471"/>
      <c r="O63" s="471"/>
      <c r="P63" s="471"/>
      <c r="Q63" s="471"/>
      <c r="R63" s="471"/>
      <c r="S63" s="471"/>
      <c r="T63" s="471"/>
      <c r="U63" s="471"/>
      <c r="V63" s="471"/>
      <c r="W63" s="471"/>
      <c r="X63" s="471"/>
      <c r="Y63" s="471"/>
      <c r="Z63" s="471"/>
      <c r="AA63" s="471"/>
      <c r="AB63" s="471"/>
      <c r="AC63" s="449"/>
      <c r="AF63" s="469"/>
    </row>
    <row r="64" spans="1:32">
      <c r="A64" s="533"/>
      <c r="B64" s="531" t="s">
        <v>230</v>
      </c>
      <c r="C64" s="471"/>
      <c r="D64" s="471"/>
      <c r="E64" s="471"/>
      <c r="F64" s="471"/>
      <c r="G64" s="471"/>
      <c r="H64" s="471"/>
      <c r="I64" s="471"/>
      <c r="J64" s="471"/>
      <c r="K64" s="471"/>
      <c r="L64" s="471"/>
      <c r="M64" s="471"/>
      <c r="N64" s="471"/>
      <c r="O64" s="471"/>
      <c r="P64" s="471"/>
      <c r="Q64" s="471"/>
      <c r="R64" s="471"/>
      <c r="S64" s="471"/>
      <c r="T64" s="471"/>
      <c r="U64" s="471"/>
      <c r="V64" s="471"/>
      <c r="W64" s="471"/>
      <c r="X64" s="471"/>
      <c r="Y64" s="471"/>
      <c r="Z64" s="471"/>
      <c r="AA64" s="471"/>
      <c r="AB64" s="471"/>
      <c r="AC64" s="449"/>
      <c r="AF64" s="445"/>
    </row>
    <row r="65" spans="1:32">
      <c r="A65" s="533"/>
      <c r="B65" s="445" t="s">
        <v>484</v>
      </c>
      <c r="C65" s="461">
        <v>43000</v>
      </c>
      <c r="D65" s="461">
        <v>43000</v>
      </c>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49"/>
      <c r="AF65" s="445"/>
    </row>
    <row r="66" spans="1:32">
      <c r="A66" s="533"/>
      <c r="B66" s="525" t="s">
        <v>485</v>
      </c>
      <c r="C66" s="506"/>
      <c r="D66" s="506"/>
      <c r="E66" s="506"/>
      <c r="F66" s="506"/>
      <c r="G66" s="506"/>
      <c r="H66" s="506"/>
      <c r="I66" s="506"/>
      <c r="J66" s="506"/>
      <c r="K66" s="506"/>
      <c r="L66" s="506"/>
      <c r="M66" s="506"/>
      <c r="N66" s="506"/>
      <c r="O66" s="506"/>
      <c r="P66" s="506"/>
      <c r="Q66" s="506"/>
      <c r="R66" s="506"/>
      <c r="S66" s="506"/>
      <c r="T66" s="506"/>
      <c r="U66" s="506"/>
      <c r="V66" s="506"/>
      <c r="W66" s="506"/>
      <c r="X66" s="506"/>
      <c r="Y66" s="506"/>
      <c r="Z66" s="506"/>
      <c r="AA66" s="506"/>
      <c r="AB66" s="506"/>
      <c r="AC66" s="449"/>
      <c r="AF66" s="445"/>
    </row>
    <row r="67" spans="1:32">
      <c r="A67" s="533"/>
      <c r="B67" s="445" t="s">
        <v>486</v>
      </c>
      <c r="C67" s="461">
        <v>49783.712070271089</v>
      </c>
      <c r="D67" s="461">
        <v>54059.538519519308</v>
      </c>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49"/>
      <c r="AF67" s="445"/>
    </row>
    <row r="68" spans="1:32">
      <c r="A68" s="533"/>
      <c r="B68" s="445" t="s">
        <v>640</v>
      </c>
      <c r="C68" s="461">
        <v>225159.28792972892</v>
      </c>
      <c r="D68" s="461">
        <v>238486.46148048071</v>
      </c>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49"/>
      <c r="AF68" s="445"/>
    </row>
    <row r="69" spans="1:32">
      <c r="A69" s="533"/>
      <c r="B69" s="445" t="s">
        <v>641</v>
      </c>
      <c r="C69" s="506">
        <v>-45000</v>
      </c>
      <c r="D69" s="506">
        <v>-45000</v>
      </c>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49"/>
      <c r="AF69" s="445"/>
    </row>
    <row r="70" spans="1:32">
      <c r="A70" s="533"/>
      <c r="B70" s="445" t="s">
        <v>487</v>
      </c>
      <c r="C70" s="461">
        <v>180159.28792972892</v>
      </c>
      <c r="D70" s="461">
        <v>193486.46148048071</v>
      </c>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49"/>
      <c r="AF70" s="445"/>
    </row>
    <row r="71" spans="1:32">
      <c r="A71" s="533"/>
      <c r="B71" s="484" t="s">
        <v>357</v>
      </c>
      <c r="C71" s="461">
        <v>4481.9117800000004</v>
      </c>
      <c r="D71" s="461">
        <v>2783.0026800000001</v>
      </c>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49"/>
      <c r="AD71" s="461"/>
      <c r="AF71" s="445"/>
    </row>
    <row r="72" spans="1:32">
      <c r="A72" s="533"/>
      <c r="B72" s="484" t="s">
        <v>356</v>
      </c>
      <c r="C72" s="461">
        <v>2669.7999999999997</v>
      </c>
      <c r="D72" s="461">
        <v>4279.8</v>
      </c>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49"/>
      <c r="AD72" s="461"/>
      <c r="AF72" s="445"/>
    </row>
    <row r="73" spans="1:32">
      <c r="A73" s="533"/>
      <c r="B73" s="445" t="s">
        <v>349</v>
      </c>
      <c r="C73" s="461">
        <v>7151.7117799999996</v>
      </c>
      <c r="D73" s="461">
        <v>7062.8026800000007</v>
      </c>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49"/>
      <c r="AD73" s="465"/>
      <c r="AF73" s="445"/>
    </row>
    <row r="74" spans="1:32">
      <c r="B74" s="518" t="s">
        <v>350</v>
      </c>
      <c r="C74" s="471">
        <v>280094.71178000001</v>
      </c>
      <c r="D74" s="471">
        <v>297608.80268000002</v>
      </c>
      <c r="E74" s="471"/>
      <c r="F74" s="471"/>
      <c r="G74" s="471"/>
      <c r="H74" s="471"/>
      <c r="I74" s="471"/>
      <c r="J74" s="471"/>
      <c r="K74" s="471"/>
      <c r="L74" s="471"/>
      <c r="M74" s="471"/>
      <c r="N74" s="471"/>
      <c r="O74" s="471"/>
      <c r="P74" s="471"/>
      <c r="Q74" s="471"/>
      <c r="R74" s="471"/>
      <c r="S74" s="471"/>
      <c r="T74" s="471"/>
      <c r="U74" s="471"/>
      <c r="V74" s="471"/>
      <c r="W74" s="471"/>
      <c r="X74" s="471"/>
      <c r="Y74" s="471"/>
      <c r="Z74" s="471"/>
      <c r="AA74" s="471"/>
      <c r="AB74" s="471"/>
      <c r="AC74" s="449"/>
      <c r="AF74" s="445"/>
    </row>
    <row r="75" spans="1:32">
      <c r="D75" s="461"/>
      <c r="E75" s="461"/>
      <c r="F75" s="461"/>
      <c r="G75" s="461"/>
      <c r="H75" s="461"/>
      <c r="I75" s="461"/>
      <c r="J75" s="461"/>
      <c r="K75" s="461"/>
      <c r="L75" s="461"/>
      <c r="M75" s="461"/>
      <c r="N75" s="461"/>
      <c r="O75" s="461"/>
      <c r="P75" s="461"/>
      <c r="Q75" s="540"/>
      <c r="R75" s="540"/>
      <c r="S75" s="540"/>
      <c r="T75" s="540"/>
      <c r="U75" s="540"/>
      <c r="V75" s="540"/>
      <c r="W75" s="540"/>
      <c r="X75" s="540"/>
      <c r="Y75" s="540"/>
      <c r="Z75" s="540"/>
      <c r="AA75" s="540"/>
      <c r="AB75" s="540"/>
      <c r="AC75" s="540"/>
      <c r="AD75" s="540"/>
      <c r="AE75" s="540"/>
    </row>
    <row r="76" spans="1:32" ht="15" hidden="1" customHeight="1">
      <c r="A76" s="541" t="s">
        <v>468</v>
      </c>
      <c r="B76" s="541"/>
      <c r="C76" s="541"/>
      <c r="D76" s="503">
        <v>2020</v>
      </c>
      <c r="E76" s="503">
        <v>2021</v>
      </c>
      <c r="F76" s="503">
        <v>2022</v>
      </c>
      <c r="G76" s="503">
        <v>2023</v>
      </c>
      <c r="H76" s="503"/>
      <c r="I76" s="503"/>
      <c r="J76" s="503"/>
      <c r="K76" s="503"/>
      <c r="L76" s="503"/>
      <c r="M76" s="503"/>
      <c r="N76" s="503"/>
      <c r="O76" s="503"/>
      <c r="P76" s="503"/>
      <c r="Q76" s="503"/>
      <c r="R76" s="503"/>
      <c r="S76" s="503"/>
      <c r="T76" s="503"/>
      <c r="U76" s="503"/>
      <c r="V76" s="503"/>
      <c r="W76" s="503"/>
      <c r="X76" s="503"/>
      <c r="Y76" s="503"/>
      <c r="Z76" s="503"/>
      <c r="AA76" s="503"/>
      <c r="AB76" s="503"/>
      <c r="AC76" s="503"/>
      <c r="AD76" s="503"/>
      <c r="AE76" s="503"/>
    </row>
    <row r="77" spans="1:32" ht="14.25" hidden="1" customHeight="1">
      <c r="A77" s="541"/>
      <c r="B77" s="541"/>
      <c r="C77" s="541"/>
      <c r="D77" s="461">
        <v>53001.444000000003</v>
      </c>
      <c r="E77" s="461">
        <v>46883.853000000003</v>
      </c>
      <c r="F77" s="461">
        <v>0</v>
      </c>
      <c r="G77" s="461">
        <v>0</v>
      </c>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row>
    <row r="78" spans="1:32" hidden="1">
      <c r="D78" s="449" t="s">
        <v>531</v>
      </c>
      <c r="E78" s="449" t="s">
        <v>577</v>
      </c>
      <c r="F78" s="449" t="s">
        <v>646</v>
      </c>
      <c r="G78" s="449" t="s">
        <v>647</v>
      </c>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row>
    <row r="79" spans="1:32">
      <c r="A79" s="457"/>
      <c r="B79" s="457"/>
      <c r="C79" s="457"/>
      <c r="D79" s="457"/>
      <c r="E79" s="457"/>
      <c r="F79" s="457"/>
      <c r="G79" s="457"/>
      <c r="H79" s="457"/>
      <c r="I79" s="457"/>
      <c r="J79" s="457"/>
      <c r="K79" s="457"/>
      <c r="L79" s="457"/>
      <c r="M79" s="457"/>
    </row>
    <row r="80" spans="1:32" ht="15" customHeight="1">
      <c r="A80" s="542" t="s">
        <v>461</v>
      </c>
      <c r="B80" s="543" t="s">
        <v>460</v>
      </c>
      <c r="C80" s="503">
        <v>2022</v>
      </c>
      <c r="D80" s="503">
        <v>2023</v>
      </c>
      <c r="E80" s="503"/>
      <c r="F80" s="503"/>
      <c r="G80" s="503"/>
      <c r="H80" s="503"/>
      <c r="I80" s="503"/>
      <c r="J80" s="503"/>
      <c r="K80" s="503"/>
      <c r="L80" s="503"/>
      <c r="M80" s="503"/>
      <c r="N80" s="503"/>
      <c r="O80" s="503"/>
      <c r="P80" s="503"/>
      <c r="Q80" s="503"/>
      <c r="R80" s="503"/>
      <c r="S80" s="503"/>
      <c r="T80" s="503"/>
      <c r="U80" s="503"/>
      <c r="V80" s="503"/>
      <c r="W80" s="503"/>
      <c r="X80" s="503"/>
      <c r="Y80" s="503"/>
      <c r="Z80" s="503"/>
      <c r="AA80" s="503"/>
      <c r="AB80" s="503"/>
      <c r="AC80" s="449"/>
      <c r="AF80" s="445"/>
    </row>
    <row r="81" spans="1:32">
      <c r="A81" s="542"/>
      <c r="B81" s="544" t="s">
        <v>458</v>
      </c>
      <c r="C81" s="545">
        <v>1959.712070271089</v>
      </c>
      <c r="D81" s="545">
        <v>2085.5385195193057</v>
      </c>
      <c r="E81" s="545"/>
      <c r="F81" s="545"/>
      <c r="G81" s="545"/>
      <c r="H81" s="545"/>
      <c r="I81" s="545"/>
      <c r="J81" s="545"/>
      <c r="K81" s="546"/>
      <c r="L81" s="546"/>
      <c r="M81" s="546"/>
      <c r="N81" s="546"/>
      <c r="O81" s="546"/>
      <c r="P81" s="546"/>
      <c r="Q81" s="546"/>
      <c r="R81" s="546"/>
      <c r="S81" s="546"/>
      <c r="T81" s="546"/>
      <c r="U81" s="546"/>
      <c r="V81" s="546"/>
      <c r="W81" s="546"/>
      <c r="X81" s="546"/>
      <c r="Y81" s="546"/>
      <c r="Z81" s="546"/>
      <c r="AA81" s="546"/>
      <c r="AB81" s="546"/>
      <c r="AC81" s="449"/>
      <c r="AF81" s="445"/>
    </row>
    <row r="82" spans="1:32">
      <c r="A82" s="542"/>
      <c r="B82" s="544" t="s">
        <v>459</v>
      </c>
      <c r="C82" s="545">
        <v>8863.287929728911</v>
      </c>
      <c r="D82" s="545">
        <v>9200.4614804806934</v>
      </c>
      <c r="E82" s="545"/>
      <c r="F82" s="545"/>
      <c r="G82" s="545"/>
      <c r="H82" s="545"/>
      <c r="I82" s="545"/>
      <c r="J82" s="545"/>
      <c r="K82" s="546"/>
      <c r="L82" s="546"/>
      <c r="M82" s="546"/>
      <c r="N82" s="546"/>
      <c r="O82" s="546"/>
      <c r="P82" s="546"/>
      <c r="Q82" s="546"/>
      <c r="R82" s="546"/>
      <c r="S82" s="546"/>
      <c r="T82" s="546"/>
      <c r="U82" s="546"/>
      <c r="V82" s="546"/>
      <c r="W82" s="546"/>
      <c r="X82" s="546"/>
      <c r="Y82" s="546"/>
      <c r="Z82" s="546"/>
      <c r="AA82" s="546"/>
      <c r="AB82" s="546"/>
      <c r="AC82" s="449"/>
      <c r="AF82" s="445"/>
    </row>
    <row r="83" spans="1:32">
      <c r="A83" s="542"/>
      <c r="B83" s="686" t="s">
        <v>245</v>
      </c>
      <c r="C83" s="545">
        <v>10823</v>
      </c>
      <c r="D83" s="545">
        <v>11286</v>
      </c>
      <c r="E83" s="545"/>
      <c r="F83" s="545"/>
      <c r="G83" s="545"/>
      <c r="H83" s="545"/>
      <c r="I83" s="545"/>
      <c r="J83" s="545"/>
      <c r="K83" s="546"/>
      <c r="L83" s="546"/>
      <c r="M83" s="546"/>
      <c r="N83" s="546"/>
      <c r="O83" s="546"/>
      <c r="P83" s="546"/>
      <c r="Q83" s="546"/>
      <c r="R83" s="546"/>
      <c r="S83" s="546"/>
      <c r="T83" s="546"/>
      <c r="U83" s="546"/>
      <c r="V83" s="546"/>
      <c r="W83" s="546"/>
      <c r="X83" s="546"/>
      <c r="Y83" s="546"/>
      <c r="Z83" s="546"/>
      <c r="AA83" s="546"/>
      <c r="AB83" s="546"/>
      <c r="AC83" s="449"/>
      <c r="AF83" s="445"/>
    </row>
    <row r="84" spans="1:32">
      <c r="A84" s="457"/>
      <c r="B84" s="547"/>
      <c r="C84" s="545">
        <v>10823</v>
      </c>
      <c r="D84" s="545">
        <v>11286</v>
      </c>
      <c r="E84" s="545"/>
      <c r="F84" s="545"/>
      <c r="G84" s="545"/>
      <c r="H84" s="545"/>
      <c r="I84" s="545"/>
      <c r="J84" s="545"/>
      <c r="K84" s="546"/>
      <c r="L84" s="546"/>
      <c r="M84" s="546"/>
      <c r="N84" s="546"/>
      <c r="O84" s="546"/>
      <c r="P84" s="546"/>
      <c r="Q84" s="546"/>
      <c r="R84" s="546"/>
      <c r="S84" s="546"/>
      <c r="T84" s="546"/>
      <c r="U84" s="546"/>
      <c r="V84" s="546"/>
      <c r="W84" s="546"/>
      <c r="X84" s="546"/>
      <c r="Y84" s="546"/>
      <c r="Z84" s="546"/>
      <c r="AA84" s="546"/>
      <c r="AB84" s="546"/>
      <c r="AC84" s="449"/>
      <c r="AF84" s="445"/>
    </row>
    <row r="85" spans="1:32">
      <c r="A85" s="457"/>
      <c r="B85" s="547"/>
      <c r="C85" s="548" t="b">
        <v>1</v>
      </c>
      <c r="D85" s="548" t="b">
        <v>1</v>
      </c>
      <c r="E85" s="548"/>
      <c r="F85" s="548"/>
      <c r="G85" s="548"/>
      <c r="H85" s="548"/>
      <c r="I85" s="548"/>
      <c r="J85" s="548"/>
      <c r="K85" s="548"/>
      <c r="L85" s="548"/>
      <c r="M85" s="548"/>
      <c r="N85" s="548"/>
      <c r="O85" s="548"/>
      <c r="P85" s="548"/>
      <c r="Q85" s="548"/>
      <c r="R85" s="548"/>
      <c r="S85" s="548"/>
      <c r="T85" s="548"/>
      <c r="U85" s="548"/>
      <c r="V85" s="548"/>
      <c r="W85" s="548"/>
      <c r="X85" s="548"/>
      <c r="Y85" s="548"/>
      <c r="Z85" s="548"/>
      <c r="AA85" s="548"/>
      <c r="AB85" s="548"/>
      <c r="AC85" s="449"/>
      <c r="AF85" s="445"/>
    </row>
    <row r="86" spans="1:32">
      <c r="B86" s="449"/>
      <c r="C86" s="449"/>
      <c r="D86" s="535"/>
      <c r="E86" s="535"/>
      <c r="F86" s="535"/>
      <c r="G86" s="449"/>
      <c r="H86" s="449"/>
      <c r="I86" s="449"/>
      <c r="J86" s="449"/>
      <c r="K86" s="449"/>
      <c r="L86" s="449"/>
      <c r="M86" s="449"/>
      <c r="N86" s="449"/>
      <c r="O86" s="449"/>
      <c r="P86" s="449"/>
      <c r="Q86" s="449"/>
      <c r="R86" s="449"/>
      <c r="S86" s="449"/>
      <c r="T86" s="449"/>
      <c r="U86" s="449"/>
      <c r="V86" s="449"/>
      <c r="W86" s="449"/>
      <c r="X86" s="449"/>
      <c r="Y86" s="449"/>
      <c r="Z86" s="449"/>
      <c r="AA86" s="449"/>
      <c r="AB86" s="449"/>
      <c r="AC86" s="449"/>
      <c r="AD86" s="449"/>
      <c r="AE86" s="449"/>
    </row>
    <row r="87" spans="1:32">
      <c r="B87" s="449"/>
      <c r="C87" s="449"/>
      <c r="D87" s="535"/>
      <c r="E87" s="535"/>
      <c r="F87" s="535"/>
      <c r="G87" s="535"/>
      <c r="H87" s="535"/>
      <c r="I87" s="535"/>
      <c r="J87" s="535"/>
      <c r="K87" s="535"/>
      <c r="L87" s="535"/>
      <c r="M87" s="535"/>
      <c r="N87" s="535"/>
      <c r="O87" s="535"/>
      <c r="P87" s="535"/>
      <c r="Q87" s="535"/>
      <c r="R87" s="535"/>
      <c r="S87" s="535"/>
      <c r="T87" s="535"/>
      <c r="U87" s="535"/>
      <c r="V87" s="535"/>
      <c r="W87" s="535"/>
      <c r="X87" s="535"/>
      <c r="Y87" s="535"/>
      <c r="Z87" s="535"/>
      <c r="AA87" s="535"/>
      <c r="AB87" s="535"/>
      <c r="AC87" s="535"/>
      <c r="AD87" s="535"/>
      <c r="AE87" s="535"/>
    </row>
    <row r="88" spans="1:32">
      <c r="B88" s="449"/>
      <c r="C88" s="449"/>
      <c r="D88" s="535"/>
      <c r="E88" s="535"/>
      <c r="F88" s="535"/>
      <c r="G88" s="535"/>
      <c r="H88" s="535"/>
      <c r="I88" s="535"/>
      <c r="J88" s="535"/>
      <c r="K88" s="535"/>
      <c r="L88" s="535"/>
      <c r="M88" s="535"/>
      <c r="N88" s="535"/>
      <c r="O88" s="535"/>
      <c r="P88" s="535"/>
      <c r="Q88" s="535"/>
      <c r="R88" s="535"/>
      <c r="S88" s="535"/>
      <c r="T88" s="535"/>
      <c r="U88" s="535"/>
      <c r="V88" s="535"/>
      <c r="W88" s="535"/>
      <c r="X88" s="535"/>
      <c r="Y88" s="535"/>
      <c r="Z88" s="535"/>
      <c r="AA88" s="535"/>
      <c r="AB88" s="535"/>
      <c r="AC88" s="535"/>
      <c r="AD88" s="535"/>
      <c r="AE88" s="535"/>
    </row>
    <row r="89" spans="1:32">
      <c r="B89" s="449"/>
      <c r="C89" s="449"/>
      <c r="D89" s="449"/>
      <c r="E89" s="449"/>
      <c r="F89" s="449"/>
      <c r="G89" s="449"/>
      <c r="H89" s="449"/>
      <c r="I89" s="449"/>
      <c r="J89" s="449"/>
      <c r="K89" s="449"/>
      <c r="L89" s="449"/>
      <c r="M89" s="449"/>
      <c r="N89" s="449"/>
      <c r="O89" s="449"/>
      <c r="P89" s="449"/>
      <c r="Q89" s="449"/>
      <c r="R89" s="449"/>
      <c r="S89" s="449"/>
      <c r="T89" s="449"/>
      <c r="U89" s="449"/>
      <c r="V89" s="449"/>
      <c r="W89" s="449"/>
      <c r="X89" s="449"/>
      <c r="Y89" s="449"/>
      <c r="Z89" s="449"/>
      <c r="AA89" s="449"/>
      <c r="AB89" s="449"/>
      <c r="AC89" s="449"/>
      <c r="AD89" s="449"/>
      <c r="AE89" s="449"/>
    </row>
    <row r="90" spans="1:32">
      <c r="B90" s="449"/>
      <c r="C90" s="449"/>
      <c r="D90" s="449"/>
      <c r="E90" s="449"/>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row>
    <row r="91" spans="1:32">
      <c r="B91" s="449"/>
      <c r="C91" s="449"/>
      <c r="D91" s="449"/>
      <c r="E91" s="449"/>
      <c r="F91" s="449"/>
      <c r="G91" s="449"/>
      <c r="H91" s="449"/>
      <c r="I91" s="449"/>
      <c r="J91" s="449"/>
      <c r="K91" s="449"/>
      <c r="L91" s="449"/>
      <c r="M91" s="449"/>
      <c r="N91" s="449"/>
      <c r="O91" s="449"/>
      <c r="P91" s="449"/>
      <c r="Q91" s="449"/>
      <c r="R91" s="449"/>
      <c r="S91" s="449"/>
      <c r="T91" s="449"/>
      <c r="U91" s="449"/>
      <c r="V91" s="449"/>
      <c r="W91" s="449"/>
      <c r="X91" s="449"/>
      <c r="Y91" s="449"/>
      <c r="Z91" s="449"/>
      <c r="AA91" s="449"/>
      <c r="AB91" s="449"/>
      <c r="AC91" s="449"/>
      <c r="AD91" s="449"/>
      <c r="AE91" s="449"/>
    </row>
    <row r="92" spans="1:32">
      <c r="B92" s="449"/>
      <c r="C92" s="449"/>
      <c r="D92" s="449"/>
      <c r="E92" s="449"/>
      <c r="F92" s="449"/>
      <c r="G92" s="449"/>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row>
    <row r="93" spans="1:32">
      <c r="B93" s="449"/>
      <c r="C93" s="449"/>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row>
  </sheetData>
  <customSheetViews>
    <customSheetView guid="{2226E858-00AE-4A92-8CF6-5B54D2FA62D4}" showPageBreaks="1" fitToPage="1" topLeftCell="K41">
      <selection activeCell="U70" sqref="U70"/>
      <pageMargins left="0.7" right="0.7" top="0.75" bottom="0.75" header="0.3" footer="0.3"/>
      <pageSetup scale="17" orientation="portrait" r:id="rId1"/>
    </customSheetView>
  </customSheetViews>
  <mergeCells count="10">
    <mergeCell ref="A76:C77"/>
    <mergeCell ref="A80:A83"/>
    <mergeCell ref="A1:N1"/>
    <mergeCell ref="A50:A73"/>
    <mergeCell ref="A19:A44"/>
    <mergeCell ref="A12:A14"/>
    <mergeCell ref="A47:R47"/>
    <mergeCell ref="M16:AB16"/>
    <mergeCell ref="S47:AE47"/>
    <mergeCell ref="Q75:AE75"/>
  </mergeCells>
  <pageMargins left="0.7" right="0.7" top="0.75" bottom="0.75" header="0.3" footer="0.3"/>
  <pageSetup scale="17"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pageSetUpPr autoPageBreaks="0"/>
  </sheetPr>
  <dimension ref="A1:AD50"/>
  <sheetViews>
    <sheetView zoomScale="70" zoomScaleNormal="70" workbookViewId="0">
      <pane xSplit="3" ySplit="5" topLeftCell="D6" activePane="bottomRight" state="frozen"/>
      <selection activeCell="G18" sqref="G18"/>
      <selection pane="topRight" activeCell="G18" sqref="G18"/>
      <selection pane="bottomLeft" activeCell="G18" sqref="G18"/>
      <selection pane="bottomRight" activeCell="K23" sqref="K23"/>
    </sheetView>
  </sheetViews>
  <sheetFormatPr defaultColWidth="9.140625" defaultRowHeight="14.25"/>
  <cols>
    <col min="1" max="1" width="16.5703125" style="445" customWidth="1"/>
    <col min="2" max="2" width="39.85546875" style="445" bestFit="1" customWidth="1"/>
    <col min="3" max="3" width="14.5703125" style="445" bestFit="1" customWidth="1"/>
    <col min="4" max="4" width="18.28515625" style="445" bestFit="1" customWidth="1"/>
    <col min="5" max="5" width="10.7109375" style="445" customWidth="1"/>
    <col min="6" max="6" width="16.5703125" style="445" customWidth="1"/>
    <col min="7" max="12" width="10.7109375" style="445" customWidth="1"/>
    <col min="13" max="30" width="11.5703125" style="445" bestFit="1" customWidth="1"/>
    <col min="31" max="31" width="9.140625" style="445" customWidth="1"/>
    <col min="32" max="16384" width="9.140625" style="445"/>
  </cols>
  <sheetData>
    <row r="1" spans="1:26" ht="18">
      <c r="A1" s="515" t="s">
        <v>654</v>
      </c>
      <c r="B1" s="515"/>
      <c r="C1" s="515"/>
      <c r="D1" s="515"/>
      <c r="E1" s="515"/>
      <c r="F1" s="515"/>
      <c r="G1" s="515"/>
      <c r="H1" s="515"/>
      <c r="I1" s="515"/>
      <c r="J1" s="515"/>
      <c r="K1" s="515"/>
      <c r="L1" s="515"/>
    </row>
    <row r="2" spans="1:26" ht="15" customHeight="1">
      <c r="A2" s="453"/>
      <c r="B2" s="449"/>
      <c r="D2" s="449"/>
      <c r="H2" s="522"/>
      <c r="I2" s="479"/>
    </row>
    <row r="3" spans="1:26" ht="15" customHeight="1">
      <c r="A3" s="453"/>
      <c r="B3" s="523"/>
      <c r="D3" s="475"/>
      <c r="E3" s="475"/>
      <c r="F3" s="475"/>
      <c r="G3" s="475"/>
      <c r="H3" s="475"/>
      <c r="I3" s="475"/>
      <c r="J3" s="475"/>
      <c r="K3" s="475"/>
    </row>
    <row r="4" spans="1:26" ht="15.75" customHeight="1">
      <c r="A4" s="458"/>
      <c r="B4" s="458"/>
      <c r="C4" s="458"/>
      <c r="D4" s="517" t="s">
        <v>319</v>
      </c>
      <c r="E4" s="517"/>
      <c r="F4" s="517" t="s">
        <v>464</v>
      </c>
      <c r="G4" s="517"/>
      <c r="H4" s="517"/>
      <c r="I4" s="517"/>
      <c r="J4" s="517"/>
      <c r="K4" s="517"/>
      <c r="L4" s="517"/>
      <c r="M4" s="517"/>
      <c r="N4" s="517"/>
      <c r="O4" s="517"/>
      <c r="P4" s="517"/>
      <c r="Q4" s="517"/>
      <c r="R4" s="517"/>
      <c r="S4" s="517"/>
      <c r="T4" s="517"/>
      <c r="U4" s="517"/>
      <c r="V4" s="517"/>
      <c r="W4" s="517"/>
      <c r="X4" s="517"/>
      <c r="Y4" s="517"/>
      <c r="Z4" s="517"/>
    </row>
    <row r="5" spans="1:26">
      <c r="A5" s="459"/>
      <c r="B5" s="503"/>
      <c r="C5" s="503"/>
      <c r="D5" s="503">
        <v>2022</v>
      </c>
      <c r="E5" s="503">
        <v>2023</v>
      </c>
      <c r="F5" s="503"/>
      <c r="G5" s="503"/>
      <c r="H5" s="503"/>
      <c r="I5" s="503"/>
      <c r="J5" s="503"/>
      <c r="K5" s="503"/>
      <c r="L5" s="503"/>
      <c r="M5" s="503"/>
      <c r="N5" s="503"/>
      <c r="O5" s="503"/>
      <c r="P5" s="503"/>
      <c r="Q5" s="503"/>
      <c r="R5" s="503"/>
      <c r="S5" s="503"/>
      <c r="T5" s="503"/>
      <c r="U5" s="503"/>
      <c r="V5" s="503"/>
      <c r="W5" s="503"/>
      <c r="X5" s="503"/>
      <c r="Y5" s="503"/>
      <c r="Z5" s="503"/>
    </row>
    <row r="6" spans="1:26">
      <c r="A6" s="460" t="s">
        <v>101</v>
      </c>
      <c r="D6" s="461"/>
      <c r="E6" s="461"/>
      <c r="F6" s="461"/>
      <c r="G6" s="461"/>
      <c r="H6" s="461"/>
      <c r="I6" s="461"/>
      <c r="J6" s="461"/>
      <c r="K6" s="461"/>
      <c r="L6" s="461"/>
      <c r="M6" s="461"/>
      <c r="N6" s="461"/>
      <c r="O6" s="461"/>
      <c r="P6" s="461"/>
      <c r="Q6" s="461"/>
      <c r="R6" s="461"/>
      <c r="S6" s="461"/>
      <c r="T6" s="461"/>
      <c r="U6" s="461"/>
      <c r="V6" s="461"/>
      <c r="W6" s="461"/>
      <c r="X6" s="461"/>
      <c r="Y6" s="461"/>
      <c r="Z6" s="461"/>
    </row>
    <row r="7" spans="1:26">
      <c r="A7" s="667" t="s">
        <v>103</v>
      </c>
    </row>
    <row r="8" spans="1:26">
      <c r="A8" s="524"/>
      <c r="B8" s="478" t="s">
        <v>102</v>
      </c>
      <c r="C8" s="461"/>
      <c r="D8" s="461">
        <v>0</v>
      </c>
      <c r="E8" s="461">
        <v>0</v>
      </c>
      <c r="F8" s="461"/>
      <c r="G8" s="461"/>
      <c r="H8" s="461"/>
      <c r="I8" s="461"/>
      <c r="J8" s="461"/>
      <c r="K8" s="461"/>
      <c r="L8" s="461"/>
      <c r="M8" s="461"/>
      <c r="N8" s="461"/>
      <c r="O8" s="461"/>
      <c r="P8" s="461"/>
      <c r="Q8" s="461"/>
      <c r="R8" s="461"/>
      <c r="S8" s="461"/>
      <c r="T8" s="461"/>
      <c r="U8" s="461"/>
      <c r="V8" s="461"/>
      <c r="W8" s="461"/>
      <c r="X8" s="461"/>
      <c r="Y8" s="461"/>
      <c r="Z8" s="461"/>
    </row>
    <row r="9" spans="1:26">
      <c r="A9" s="524"/>
      <c r="B9" s="445" t="s">
        <v>104</v>
      </c>
      <c r="C9" s="461"/>
      <c r="D9" s="461">
        <v>108188.94100000001</v>
      </c>
      <c r="E9" s="461">
        <v>115052.02100000001</v>
      </c>
      <c r="F9" s="461"/>
      <c r="G9" s="461"/>
      <c r="H9" s="461"/>
      <c r="I9" s="461"/>
      <c r="J9" s="461"/>
      <c r="K9" s="461"/>
      <c r="L9" s="461"/>
      <c r="M9" s="461"/>
      <c r="N9" s="461"/>
      <c r="O9" s="461"/>
      <c r="P9" s="461"/>
      <c r="Q9" s="461"/>
      <c r="R9" s="461"/>
      <c r="S9" s="461"/>
      <c r="T9" s="461"/>
      <c r="U9" s="461"/>
      <c r="V9" s="461"/>
      <c r="W9" s="461"/>
      <c r="X9" s="461"/>
      <c r="Y9" s="461"/>
      <c r="Z9" s="461"/>
    </row>
    <row r="10" spans="1:26">
      <c r="A10" s="524"/>
      <c r="B10" s="445" t="s">
        <v>105</v>
      </c>
      <c r="C10" s="461"/>
      <c r="D10" s="461">
        <v>0</v>
      </c>
      <c r="E10" s="461">
        <v>0</v>
      </c>
      <c r="F10" s="461"/>
      <c r="G10" s="461"/>
      <c r="H10" s="461"/>
      <c r="I10" s="461"/>
      <c r="J10" s="461"/>
      <c r="K10" s="461"/>
      <c r="L10" s="461"/>
      <c r="M10" s="461"/>
      <c r="N10" s="461"/>
      <c r="O10" s="461"/>
      <c r="P10" s="461"/>
      <c r="Q10" s="461"/>
      <c r="R10" s="461"/>
      <c r="S10" s="461"/>
      <c r="T10" s="461"/>
      <c r="U10" s="461"/>
      <c r="V10" s="461"/>
      <c r="W10" s="461"/>
      <c r="X10" s="461"/>
      <c r="Y10" s="461"/>
      <c r="Z10" s="461"/>
    </row>
    <row r="11" spans="1:26">
      <c r="A11" s="524"/>
      <c r="B11" s="445" t="s">
        <v>106</v>
      </c>
      <c r="C11" s="461"/>
      <c r="D11" s="461">
        <v>0</v>
      </c>
      <c r="E11" s="461">
        <v>0</v>
      </c>
      <c r="F11" s="461"/>
      <c r="G11" s="461"/>
      <c r="H11" s="461"/>
      <c r="I11" s="461"/>
      <c r="J11" s="461"/>
      <c r="K11" s="461"/>
      <c r="L11" s="461"/>
      <c r="M11" s="461"/>
      <c r="N11" s="461"/>
      <c r="O11" s="461"/>
      <c r="P11" s="461"/>
      <c r="Q11" s="461"/>
      <c r="R11" s="461"/>
      <c r="S11" s="461"/>
      <c r="T11" s="461"/>
      <c r="U11" s="461"/>
      <c r="V11" s="461"/>
      <c r="W11" s="461"/>
      <c r="X11" s="461"/>
      <c r="Y11" s="461"/>
      <c r="Z11" s="461"/>
    </row>
    <row r="12" spans="1:26">
      <c r="A12" s="524"/>
      <c r="B12" s="445" t="s">
        <v>89</v>
      </c>
      <c r="C12" s="461"/>
      <c r="D12" s="461">
        <v>65.106999999999999</v>
      </c>
      <c r="E12" s="461">
        <v>80.599000000000004</v>
      </c>
      <c r="F12" s="461"/>
      <c r="G12" s="461"/>
      <c r="H12" s="461"/>
      <c r="I12" s="461"/>
      <c r="J12" s="461"/>
      <c r="K12" s="461"/>
      <c r="L12" s="461"/>
      <c r="M12" s="461"/>
      <c r="N12" s="461"/>
      <c r="O12" s="461"/>
      <c r="P12" s="461"/>
      <c r="Q12" s="461"/>
      <c r="R12" s="461"/>
      <c r="S12" s="461"/>
      <c r="T12" s="461"/>
      <c r="U12" s="461"/>
      <c r="V12" s="461"/>
      <c r="W12" s="461"/>
      <c r="X12" s="461"/>
      <c r="Y12" s="461"/>
      <c r="Z12" s="461"/>
    </row>
    <row r="13" spans="1:26">
      <c r="C13" s="461"/>
      <c r="D13" s="461" t="s">
        <v>642</v>
      </c>
      <c r="E13" s="461"/>
      <c r="F13" s="461"/>
      <c r="G13" s="461"/>
      <c r="H13" s="461"/>
      <c r="I13" s="461"/>
      <c r="J13" s="461"/>
      <c r="K13" s="461"/>
      <c r="L13" s="461"/>
      <c r="M13" s="461"/>
      <c r="N13" s="461"/>
      <c r="O13" s="461"/>
      <c r="P13" s="461"/>
      <c r="Q13" s="461"/>
      <c r="R13" s="461"/>
      <c r="S13" s="461"/>
      <c r="T13" s="461"/>
      <c r="U13" s="461"/>
      <c r="V13" s="461"/>
      <c r="W13" s="461"/>
      <c r="X13" s="461"/>
      <c r="Y13" s="461"/>
      <c r="Z13" s="461"/>
    </row>
    <row r="14" spans="1:26">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row>
    <row r="15" spans="1:26">
      <c r="B15" s="524" t="s">
        <v>524</v>
      </c>
      <c r="C15" s="461"/>
      <c r="D15" s="461">
        <v>108188.94100000001</v>
      </c>
      <c r="E15" s="461">
        <v>115052.02100000001</v>
      </c>
      <c r="F15" s="461"/>
      <c r="G15" s="461"/>
      <c r="H15" s="461"/>
      <c r="I15" s="461"/>
      <c r="J15" s="461"/>
      <c r="K15" s="461"/>
      <c r="L15" s="461"/>
      <c r="M15" s="461"/>
      <c r="N15" s="461"/>
      <c r="O15" s="461"/>
      <c r="P15" s="461"/>
      <c r="Q15" s="461"/>
      <c r="R15" s="461"/>
      <c r="S15" s="461"/>
      <c r="T15" s="461"/>
      <c r="U15" s="461"/>
      <c r="V15" s="461"/>
      <c r="W15" s="461"/>
      <c r="X15" s="461"/>
      <c r="Y15" s="461"/>
      <c r="Z15" s="461"/>
    </row>
    <row r="16" spans="1:26">
      <c r="A16" s="667" t="s">
        <v>107</v>
      </c>
      <c r="D16" s="461"/>
      <c r="E16" s="461"/>
      <c r="F16" s="461"/>
      <c r="G16" s="461"/>
      <c r="H16" s="461"/>
      <c r="I16" s="461"/>
      <c r="J16" s="461"/>
      <c r="K16" s="461"/>
      <c r="L16" s="461"/>
      <c r="M16" s="461"/>
      <c r="N16" s="461"/>
      <c r="O16" s="461"/>
      <c r="P16" s="461"/>
      <c r="Q16" s="461"/>
      <c r="R16" s="461"/>
      <c r="S16" s="461"/>
      <c r="T16" s="461"/>
      <c r="U16" s="461"/>
      <c r="V16" s="461"/>
      <c r="W16" s="461"/>
      <c r="X16" s="461"/>
      <c r="Y16" s="461"/>
      <c r="Z16" s="461"/>
    </row>
    <row r="17" spans="1:26">
      <c r="A17" s="667"/>
      <c r="B17" s="445" t="s">
        <v>109</v>
      </c>
      <c r="C17" s="461"/>
      <c r="D17" s="461">
        <v>5625.9120000000003</v>
      </c>
      <c r="E17" s="461">
        <v>5524.1819999999998</v>
      </c>
      <c r="F17" s="461"/>
      <c r="G17" s="461"/>
      <c r="H17" s="461"/>
      <c r="I17" s="461"/>
      <c r="J17" s="461"/>
      <c r="K17" s="461"/>
      <c r="L17" s="461"/>
      <c r="M17" s="461"/>
      <c r="N17" s="461"/>
      <c r="O17" s="461"/>
      <c r="P17" s="461"/>
      <c r="Q17" s="461"/>
      <c r="R17" s="461"/>
      <c r="S17" s="461"/>
      <c r="T17" s="461"/>
      <c r="U17" s="461"/>
      <c r="V17" s="461"/>
      <c r="W17" s="461"/>
      <c r="X17" s="461"/>
      <c r="Y17" s="461"/>
      <c r="Z17" s="461"/>
    </row>
    <row r="18" spans="1:26">
      <c r="A18" s="524"/>
      <c r="B18" s="445" t="s">
        <v>108</v>
      </c>
      <c r="C18" s="461"/>
      <c r="D18" s="461">
        <v>2959.694</v>
      </c>
      <c r="E18" s="461">
        <v>1927.3420000000001</v>
      </c>
      <c r="F18" s="461"/>
      <c r="G18" s="461"/>
      <c r="H18" s="461"/>
      <c r="I18" s="461"/>
      <c r="J18" s="461"/>
      <c r="K18" s="461"/>
      <c r="L18" s="461"/>
      <c r="M18" s="461"/>
      <c r="N18" s="461"/>
      <c r="O18" s="461"/>
      <c r="P18" s="461"/>
      <c r="Q18" s="461"/>
      <c r="R18" s="461"/>
      <c r="S18" s="461"/>
      <c r="T18" s="461"/>
      <c r="U18" s="461"/>
      <c r="V18" s="461"/>
      <c r="W18" s="461"/>
      <c r="X18" s="461"/>
      <c r="Y18" s="461"/>
      <c r="Z18" s="461"/>
    </row>
    <row r="19" spans="1:26">
      <c r="A19" s="524"/>
      <c r="B19" s="445" t="s">
        <v>580</v>
      </c>
      <c r="C19" s="461"/>
      <c r="D19" s="461">
        <v>48678.76</v>
      </c>
      <c r="E19" s="461">
        <v>47108.182000000001</v>
      </c>
      <c r="F19" s="461"/>
      <c r="G19" s="461"/>
      <c r="H19" s="461"/>
      <c r="I19" s="461"/>
      <c r="J19" s="461"/>
      <c r="K19" s="461"/>
      <c r="L19" s="461"/>
      <c r="M19" s="461"/>
      <c r="N19" s="461"/>
      <c r="O19" s="461"/>
      <c r="P19" s="461"/>
      <c r="Q19" s="461"/>
      <c r="R19" s="461"/>
      <c r="S19" s="461"/>
      <c r="T19" s="461"/>
      <c r="U19" s="461"/>
      <c r="V19" s="461"/>
      <c r="W19" s="461"/>
      <c r="X19" s="461"/>
      <c r="Y19" s="461"/>
      <c r="Z19" s="461"/>
    </row>
    <row r="20" spans="1:26">
      <c r="A20" s="524"/>
      <c r="B20" s="445" t="s">
        <v>581</v>
      </c>
      <c r="C20" s="461"/>
      <c r="D20" s="461">
        <v>10284.959999999999</v>
      </c>
      <c r="E20" s="461">
        <v>10284.959999999999</v>
      </c>
      <c r="F20" s="461"/>
      <c r="G20" s="461"/>
      <c r="H20" s="461"/>
      <c r="I20" s="461"/>
      <c r="J20" s="461"/>
      <c r="K20" s="461"/>
      <c r="L20" s="461"/>
      <c r="M20" s="461"/>
      <c r="N20" s="461"/>
      <c r="O20" s="461"/>
      <c r="P20" s="461"/>
      <c r="Q20" s="461"/>
      <c r="R20" s="461"/>
      <c r="S20" s="461"/>
      <c r="T20" s="461"/>
      <c r="U20" s="461"/>
      <c r="V20" s="461"/>
      <c r="W20" s="461"/>
      <c r="X20" s="461"/>
      <c r="Y20" s="461"/>
      <c r="Z20" s="461"/>
    </row>
    <row r="21" spans="1:26">
      <c r="A21" s="524"/>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row>
    <row r="22" spans="1:26">
      <c r="A22" s="524"/>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row>
    <row r="23" spans="1:26">
      <c r="A23" s="524"/>
      <c r="B23" s="445" t="s">
        <v>469</v>
      </c>
      <c r="C23" s="461"/>
      <c r="D23" s="461">
        <v>4303.9977649606953</v>
      </c>
      <c r="E23" s="461">
        <v>3736.3402445712541</v>
      </c>
      <c r="F23" s="461"/>
      <c r="G23" s="461"/>
      <c r="H23" s="461"/>
      <c r="I23" s="461"/>
      <c r="J23" s="461"/>
      <c r="K23" s="461"/>
      <c r="L23" s="461"/>
      <c r="M23" s="461"/>
      <c r="N23" s="461"/>
      <c r="O23" s="461"/>
      <c r="P23" s="461"/>
      <c r="Q23" s="461"/>
      <c r="R23" s="461"/>
      <c r="S23" s="461"/>
      <c r="T23" s="461"/>
      <c r="U23" s="461"/>
      <c r="V23" s="461"/>
      <c r="W23" s="461"/>
      <c r="X23" s="461"/>
      <c r="Y23" s="461"/>
      <c r="Z23" s="461"/>
    </row>
    <row r="24" spans="1:26">
      <c r="A24" s="524"/>
      <c r="B24" s="525" t="s">
        <v>489</v>
      </c>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row>
    <row r="25" spans="1:26">
      <c r="A25" s="524"/>
      <c r="B25" s="445" t="s">
        <v>238</v>
      </c>
      <c r="C25" s="461"/>
      <c r="D25" s="461">
        <v>-5614.8969999999999</v>
      </c>
      <c r="E25" s="461">
        <v>-5609.42</v>
      </c>
      <c r="F25" s="461"/>
      <c r="G25" s="461"/>
      <c r="H25" s="461"/>
      <c r="I25" s="461"/>
      <c r="J25" s="461"/>
      <c r="K25" s="461"/>
      <c r="L25" s="461"/>
      <c r="M25" s="461"/>
      <c r="N25" s="461"/>
      <c r="O25" s="461"/>
      <c r="P25" s="461"/>
      <c r="Q25" s="461"/>
      <c r="R25" s="461"/>
      <c r="S25" s="461"/>
      <c r="T25" s="461"/>
      <c r="U25" s="461"/>
      <c r="V25" s="461"/>
      <c r="W25" s="461"/>
      <c r="X25" s="461"/>
      <c r="Y25" s="461"/>
      <c r="Z25" s="461"/>
    </row>
    <row r="26" spans="1:26">
      <c r="A26" s="524"/>
      <c r="B26" s="445" t="s">
        <v>362</v>
      </c>
      <c r="C26" s="461"/>
      <c r="D26" s="461">
        <v>4132</v>
      </c>
      <c r="E26" s="461">
        <v>4132</v>
      </c>
      <c r="F26" s="461"/>
      <c r="G26" s="461"/>
      <c r="H26" s="461"/>
      <c r="I26" s="461"/>
      <c r="J26" s="461"/>
      <c r="K26" s="461"/>
      <c r="L26" s="461"/>
      <c r="M26" s="461"/>
      <c r="N26" s="461"/>
      <c r="O26" s="461"/>
      <c r="P26" s="461"/>
      <c r="Q26" s="461"/>
      <c r="R26" s="461"/>
      <c r="S26" s="461"/>
      <c r="T26" s="461"/>
      <c r="U26" s="461"/>
      <c r="V26" s="461"/>
      <c r="W26" s="461"/>
      <c r="X26" s="461"/>
      <c r="Y26" s="461"/>
      <c r="Z26" s="461"/>
    </row>
    <row r="27" spans="1:26">
      <c r="B27" s="524" t="s">
        <v>578</v>
      </c>
      <c r="C27" s="461"/>
      <c r="D27" s="461">
        <v>70370.426764960692</v>
      </c>
      <c r="E27" s="461">
        <v>67103.586244571256</v>
      </c>
      <c r="F27" s="461"/>
      <c r="G27" s="461"/>
      <c r="H27" s="461"/>
      <c r="I27" s="461"/>
      <c r="J27" s="461"/>
      <c r="K27" s="461"/>
      <c r="L27" s="461"/>
      <c r="M27" s="461"/>
      <c r="N27" s="461"/>
      <c r="O27" s="461"/>
      <c r="P27" s="461"/>
      <c r="Q27" s="461"/>
      <c r="R27" s="461"/>
      <c r="S27" s="461"/>
      <c r="T27" s="461"/>
      <c r="U27" s="461"/>
      <c r="V27" s="461"/>
      <c r="W27" s="461"/>
      <c r="X27" s="461"/>
      <c r="Y27" s="461"/>
      <c r="Z27" s="461"/>
    </row>
    <row r="28" spans="1:26">
      <c r="B28" s="524" t="s">
        <v>526</v>
      </c>
      <c r="C28" s="461"/>
      <c r="D28" s="461">
        <v>67410.732764960689</v>
      </c>
      <c r="E28" s="461">
        <v>65176.244244571259</v>
      </c>
      <c r="F28" s="461"/>
      <c r="G28" s="461"/>
      <c r="H28" s="461"/>
      <c r="I28" s="461"/>
      <c r="J28" s="461"/>
      <c r="K28" s="461"/>
      <c r="L28" s="461"/>
      <c r="M28" s="461"/>
      <c r="N28" s="461"/>
      <c r="O28" s="461"/>
      <c r="P28" s="461"/>
      <c r="Q28" s="461"/>
      <c r="R28" s="461"/>
      <c r="S28" s="461"/>
      <c r="T28" s="461"/>
      <c r="U28" s="461"/>
      <c r="V28" s="461"/>
      <c r="W28" s="461"/>
      <c r="X28" s="461"/>
      <c r="Y28" s="461"/>
      <c r="Z28" s="461"/>
    </row>
    <row r="29" spans="1:26">
      <c r="A29" s="460" t="s">
        <v>112</v>
      </c>
      <c r="C29" s="461" t="s">
        <v>579</v>
      </c>
      <c r="D29" s="461">
        <v>66066.429000000004</v>
      </c>
      <c r="E29" s="461">
        <v>63367.245999999999</v>
      </c>
      <c r="F29" s="461"/>
      <c r="G29" s="461"/>
      <c r="H29" s="461"/>
      <c r="I29" s="461"/>
      <c r="J29" s="461"/>
      <c r="K29" s="461"/>
      <c r="L29" s="461"/>
      <c r="M29" s="461"/>
      <c r="N29" s="461"/>
      <c r="O29" s="461"/>
      <c r="P29" s="461"/>
      <c r="Q29" s="461"/>
      <c r="R29" s="461"/>
      <c r="S29" s="461"/>
      <c r="T29" s="461"/>
      <c r="U29" s="461"/>
      <c r="V29" s="461"/>
      <c r="W29" s="461"/>
      <c r="X29" s="461"/>
      <c r="Y29" s="461"/>
      <c r="Z29" s="461"/>
    </row>
    <row r="30" spans="1:26">
      <c r="A30" s="667" t="s">
        <v>103</v>
      </c>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row>
    <row r="31" spans="1:26">
      <c r="A31" s="524"/>
      <c r="B31" s="445" t="s">
        <v>113</v>
      </c>
      <c r="C31" s="461"/>
      <c r="D31" s="461">
        <v>0</v>
      </c>
      <c r="E31" s="461">
        <v>0</v>
      </c>
      <c r="F31" s="461"/>
      <c r="G31" s="461"/>
      <c r="H31" s="461"/>
      <c r="I31" s="461"/>
      <c r="J31" s="461"/>
      <c r="K31" s="461"/>
      <c r="L31" s="461"/>
      <c r="M31" s="461"/>
      <c r="N31" s="461"/>
      <c r="O31" s="461"/>
      <c r="P31" s="461"/>
      <c r="Q31" s="461"/>
      <c r="R31" s="461"/>
      <c r="S31" s="461"/>
      <c r="T31" s="461"/>
      <c r="U31" s="461"/>
      <c r="V31" s="461"/>
      <c r="W31" s="461"/>
      <c r="X31" s="461"/>
      <c r="Y31" s="461"/>
      <c r="Z31" s="461"/>
    </row>
    <row r="32" spans="1:26">
      <c r="A32" s="524"/>
      <c r="B32" s="445" t="s">
        <v>114</v>
      </c>
      <c r="C32" s="461"/>
      <c r="D32" s="461">
        <v>204197</v>
      </c>
      <c r="E32" s="461">
        <v>209379</v>
      </c>
      <c r="F32" s="461"/>
      <c r="G32" s="461"/>
      <c r="H32" s="461"/>
      <c r="I32" s="461"/>
      <c r="J32" s="461"/>
      <c r="K32" s="461"/>
      <c r="L32" s="461"/>
      <c r="M32" s="461"/>
      <c r="N32" s="461"/>
      <c r="O32" s="461"/>
      <c r="P32" s="461"/>
      <c r="Q32" s="461"/>
      <c r="R32" s="461"/>
      <c r="S32" s="461"/>
      <c r="T32" s="461"/>
      <c r="U32" s="461"/>
      <c r="V32" s="461"/>
      <c r="W32" s="461"/>
      <c r="X32" s="461"/>
      <c r="Y32" s="461"/>
      <c r="Z32" s="461"/>
    </row>
    <row r="33" spans="1:27">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row>
    <row r="34" spans="1:27">
      <c r="B34" s="524" t="s">
        <v>110</v>
      </c>
      <c r="C34" s="461"/>
      <c r="D34" s="461">
        <v>204197</v>
      </c>
      <c r="E34" s="461">
        <v>209379</v>
      </c>
      <c r="F34" s="461"/>
      <c r="G34" s="461"/>
      <c r="H34" s="461"/>
      <c r="I34" s="461"/>
      <c r="J34" s="461"/>
      <c r="K34" s="461"/>
      <c r="L34" s="461"/>
      <c r="M34" s="461"/>
      <c r="N34" s="461"/>
      <c r="O34" s="461"/>
      <c r="P34" s="461"/>
      <c r="Q34" s="461"/>
      <c r="R34" s="461"/>
      <c r="S34" s="461"/>
      <c r="T34" s="461"/>
      <c r="U34" s="461"/>
      <c r="V34" s="461"/>
      <c r="W34" s="461"/>
      <c r="X34" s="461"/>
      <c r="Y34" s="461"/>
      <c r="Z34" s="461"/>
    </row>
    <row r="35" spans="1:27">
      <c r="A35" s="667" t="s">
        <v>107</v>
      </c>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row>
    <row r="36" spans="1:27">
      <c r="A36" s="524"/>
      <c r="B36" s="445" t="s">
        <v>109</v>
      </c>
      <c r="C36" s="461"/>
      <c r="D36" s="461">
        <v>2378.6970000000001</v>
      </c>
      <c r="E36" s="461">
        <v>1974.902</v>
      </c>
      <c r="F36" s="461"/>
      <c r="G36" s="461"/>
      <c r="H36" s="461"/>
      <c r="I36" s="461"/>
      <c r="J36" s="461"/>
      <c r="K36" s="461"/>
      <c r="L36" s="461"/>
      <c r="M36" s="461"/>
      <c r="N36" s="461"/>
      <c r="O36" s="461"/>
      <c r="P36" s="461"/>
      <c r="Q36" s="461"/>
      <c r="R36" s="461"/>
      <c r="S36" s="461"/>
      <c r="T36" s="461"/>
      <c r="U36" s="461"/>
      <c r="V36" s="461"/>
      <c r="W36" s="461"/>
      <c r="X36" s="461"/>
      <c r="Y36" s="461"/>
      <c r="Z36" s="461"/>
    </row>
    <row r="37" spans="1:27">
      <c r="A37" s="524"/>
      <c r="B37" s="445" t="s">
        <v>108</v>
      </c>
      <c r="C37" s="461"/>
      <c r="D37" s="461">
        <v>21595.974999999999</v>
      </c>
      <c r="E37" s="461">
        <v>22678.366999999998</v>
      </c>
      <c r="F37" s="461"/>
      <c r="G37" s="461"/>
      <c r="H37" s="461"/>
      <c r="I37" s="461"/>
      <c r="J37" s="461"/>
      <c r="K37" s="461"/>
      <c r="L37" s="461"/>
      <c r="M37" s="461"/>
      <c r="N37" s="461"/>
      <c r="O37" s="461"/>
      <c r="P37" s="461"/>
      <c r="Q37" s="461"/>
      <c r="R37" s="461"/>
      <c r="S37" s="461"/>
      <c r="T37" s="461"/>
      <c r="U37" s="461"/>
      <c r="V37" s="461"/>
      <c r="W37" s="461"/>
      <c r="X37" s="461"/>
      <c r="Y37" s="461"/>
      <c r="Z37" s="461"/>
    </row>
    <row r="38" spans="1:27">
      <c r="A38" s="524"/>
      <c r="B38" s="445" t="s">
        <v>580</v>
      </c>
      <c r="C38" s="461"/>
      <c r="D38" s="461">
        <v>72100</v>
      </c>
      <c r="E38" s="461">
        <v>71720</v>
      </c>
      <c r="F38" s="461"/>
      <c r="G38" s="461"/>
      <c r="H38" s="461"/>
      <c r="I38" s="461"/>
      <c r="J38" s="461"/>
      <c r="K38" s="461"/>
      <c r="L38" s="461"/>
      <c r="M38" s="461"/>
      <c r="N38" s="461"/>
      <c r="O38" s="461"/>
      <c r="P38" s="461"/>
      <c r="Q38" s="461"/>
      <c r="R38" s="461"/>
      <c r="S38" s="461"/>
      <c r="T38" s="461"/>
      <c r="U38" s="461"/>
      <c r="V38" s="461"/>
      <c r="W38" s="461"/>
      <c r="X38" s="461"/>
      <c r="Y38" s="461"/>
      <c r="Z38" s="461"/>
    </row>
    <row r="39" spans="1:27">
      <c r="A39" s="524"/>
      <c r="B39" s="445" t="s">
        <v>581</v>
      </c>
      <c r="C39" s="461"/>
      <c r="D39" s="461">
        <v>0</v>
      </c>
      <c r="E39" s="461">
        <v>0</v>
      </c>
      <c r="F39" s="461"/>
      <c r="G39" s="461"/>
      <c r="H39" s="461"/>
      <c r="I39" s="461"/>
      <c r="J39" s="461"/>
      <c r="K39" s="461"/>
      <c r="L39" s="461"/>
      <c r="M39" s="461"/>
      <c r="N39" s="461"/>
      <c r="O39" s="461"/>
      <c r="P39" s="461"/>
      <c r="Q39" s="461"/>
      <c r="R39" s="461"/>
      <c r="S39" s="461"/>
      <c r="T39" s="461"/>
      <c r="U39" s="461"/>
      <c r="V39" s="461"/>
      <c r="W39" s="461"/>
      <c r="X39" s="461"/>
      <c r="Y39" s="461"/>
      <c r="Z39" s="461"/>
    </row>
    <row r="40" spans="1:27">
      <c r="A40" s="524"/>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row>
    <row r="41" spans="1:27">
      <c r="A41" s="524"/>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row>
    <row r="42" spans="1:27">
      <c r="A42" s="524"/>
      <c r="B42" s="445" t="s">
        <v>470</v>
      </c>
      <c r="C42" s="461"/>
      <c r="D42" s="461">
        <v>27441.719077461217</v>
      </c>
      <c r="E42" s="461">
        <v>26071.088679182656</v>
      </c>
      <c r="F42" s="461"/>
      <c r="G42" s="461"/>
      <c r="H42" s="461"/>
      <c r="I42" s="461"/>
      <c r="J42" s="461"/>
      <c r="K42" s="461"/>
      <c r="L42" s="461"/>
      <c r="M42" s="461"/>
      <c r="N42" s="461"/>
      <c r="O42" s="461"/>
      <c r="P42" s="461"/>
      <c r="Q42" s="461"/>
      <c r="R42" s="461"/>
      <c r="S42" s="461"/>
      <c r="T42" s="461"/>
      <c r="U42" s="461"/>
      <c r="V42" s="461"/>
      <c r="W42" s="461"/>
      <c r="X42" s="461"/>
      <c r="Y42" s="461"/>
      <c r="Z42" s="461"/>
    </row>
    <row r="43" spans="1:27">
      <c r="A43" s="524"/>
      <c r="B43" s="525" t="s">
        <v>490</v>
      </c>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row>
    <row r="44" spans="1:27">
      <c r="A44" s="524"/>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row>
    <row r="45" spans="1:27">
      <c r="A45" s="524"/>
      <c r="B45" s="445" t="s">
        <v>362</v>
      </c>
      <c r="C45" s="461"/>
      <c r="D45" s="461">
        <v>0</v>
      </c>
      <c r="E45" s="461">
        <v>0</v>
      </c>
      <c r="F45" s="461"/>
      <c r="G45" s="461"/>
      <c r="H45" s="461"/>
      <c r="I45" s="461"/>
      <c r="J45" s="461"/>
      <c r="K45" s="461"/>
      <c r="L45" s="461"/>
      <c r="M45" s="461"/>
      <c r="N45" s="461"/>
      <c r="O45" s="461"/>
      <c r="P45" s="461"/>
      <c r="Q45" s="461"/>
      <c r="R45" s="461"/>
      <c r="S45" s="461"/>
      <c r="T45" s="461"/>
      <c r="U45" s="461"/>
      <c r="V45" s="461"/>
      <c r="W45" s="461"/>
      <c r="X45" s="461"/>
      <c r="Y45" s="461"/>
      <c r="Z45" s="461"/>
    </row>
    <row r="46" spans="1:27">
      <c r="B46" s="524" t="s">
        <v>111</v>
      </c>
      <c r="C46" s="461"/>
      <c r="D46" s="461">
        <v>96074.671999999991</v>
      </c>
      <c r="E46" s="461">
        <v>96373.269</v>
      </c>
      <c r="F46" s="461"/>
      <c r="G46" s="461"/>
      <c r="H46" s="461"/>
      <c r="I46" s="461"/>
      <c r="J46" s="461"/>
      <c r="K46" s="461"/>
      <c r="L46" s="461"/>
      <c r="M46" s="461"/>
      <c r="N46" s="461"/>
      <c r="O46" s="461"/>
      <c r="P46" s="461"/>
      <c r="Q46" s="461"/>
      <c r="R46" s="461"/>
      <c r="S46" s="461"/>
      <c r="T46" s="461"/>
      <c r="U46" s="461"/>
      <c r="V46" s="461"/>
      <c r="W46" s="461"/>
      <c r="X46" s="461"/>
      <c r="Y46" s="461"/>
      <c r="Z46" s="461"/>
    </row>
    <row r="47" spans="1:27">
      <c r="B47" s="445" t="s">
        <v>371</v>
      </c>
      <c r="C47" s="465"/>
      <c r="D47" s="465">
        <v>-74478.697</v>
      </c>
      <c r="E47" s="465">
        <v>-73694.902000000002</v>
      </c>
      <c r="F47" s="465"/>
      <c r="G47" s="465"/>
      <c r="H47" s="465"/>
      <c r="I47" s="465"/>
      <c r="J47" s="465"/>
      <c r="K47" s="465"/>
      <c r="L47" s="465"/>
      <c r="M47" s="465"/>
      <c r="N47" s="465"/>
      <c r="O47" s="465"/>
      <c r="P47" s="465"/>
      <c r="Q47" s="465"/>
      <c r="R47" s="465"/>
      <c r="S47" s="465"/>
      <c r="T47" s="465"/>
      <c r="U47" s="465"/>
      <c r="V47" s="465"/>
      <c r="W47" s="465"/>
      <c r="X47" s="465"/>
      <c r="Y47" s="465"/>
      <c r="Z47" s="465"/>
      <c r="AA47" s="465"/>
    </row>
    <row r="48" spans="1:27">
      <c r="D48" s="465"/>
      <c r="E48" s="465"/>
      <c r="F48" s="465"/>
      <c r="G48" s="465"/>
      <c r="H48" s="465"/>
      <c r="I48" s="465"/>
      <c r="J48" s="465"/>
      <c r="K48" s="465"/>
      <c r="L48" s="465"/>
      <c r="M48" s="465"/>
      <c r="N48" s="465"/>
      <c r="O48" s="465"/>
    </row>
    <row r="49" spans="2:15">
      <c r="D49" s="668">
        <v>44743</v>
      </c>
      <c r="E49" s="668">
        <v>45108</v>
      </c>
      <c r="F49" s="668"/>
      <c r="G49" s="465"/>
      <c r="H49" s="465"/>
      <c r="I49" s="465"/>
      <c r="J49" s="465"/>
      <c r="K49" s="465"/>
      <c r="L49" s="465"/>
      <c r="M49" s="465"/>
      <c r="N49" s="465"/>
      <c r="O49" s="465"/>
    </row>
    <row r="50" spans="2:15">
      <c r="B50" s="445" t="s">
        <v>534</v>
      </c>
      <c r="D50" s="669">
        <v>15985</v>
      </c>
      <c r="E50" s="669">
        <v>16775</v>
      </c>
      <c r="F50" s="669"/>
    </row>
  </sheetData>
  <customSheetViews>
    <customSheetView guid="{2226E858-00AE-4A92-8CF6-5B54D2FA62D4}" showPageBreaks="1">
      <selection activeCell="D8" sqref="D8:K11"/>
      <pageMargins left="0.7" right="0.7" top="0.75" bottom="0.75" header="0.3" footer="0.3"/>
      <pageSetup orientation="portrait" r:id="rId1"/>
    </customSheetView>
  </customSheetViews>
  <mergeCells count="4">
    <mergeCell ref="A1:L1"/>
    <mergeCell ref="D3:K3"/>
    <mergeCell ref="F4:Z4"/>
    <mergeCell ref="D4:E4"/>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AF39"/>
  <sheetViews>
    <sheetView zoomScale="85" zoomScaleNormal="85" workbookViewId="0">
      <selection activeCell="G18" sqref="G18"/>
    </sheetView>
  </sheetViews>
  <sheetFormatPr defaultColWidth="9.140625" defaultRowHeight="14.25"/>
  <cols>
    <col min="1" max="1" width="31.28515625" style="445" bestFit="1" customWidth="1"/>
    <col min="2" max="2" width="18.7109375" style="445" bestFit="1" customWidth="1"/>
    <col min="3" max="3" width="23" style="445" bestFit="1" customWidth="1"/>
    <col min="4" max="5" width="13.5703125" style="445" customWidth="1"/>
    <col min="6" max="6" width="16" style="445" bestFit="1" customWidth="1"/>
    <col min="7" max="9" width="13.5703125" style="445" customWidth="1"/>
    <col min="10" max="10" width="21.140625" style="445" customWidth="1"/>
    <col min="11" max="11" width="10.5703125" style="445" bestFit="1" customWidth="1"/>
    <col min="12" max="31" width="13.5703125" style="445" customWidth="1"/>
    <col min="32" max="32" width="9.140625" style="449"/>
    <col min="33" max="16384" width="9.140625" style="445"/>
  </cols>
  <sheetData>
    <row r="1" spans="1:32" ht="18">
      <c r="A1" s="515" t="s">
        <v>132</v>
      </c>
      <c r="B1" s="515"/>
      <c r="C1" s="515"/>
      <c r="D1" s="515"/>
      <c r="E1" s="515"/>
      <c r="F1" s="515"/>
      <c r="G1" s="515"/>
      <c r="H1" s="515"/>
      <c r="I1" s="515"/>
      <c r="J1" s="515"/>
      <c r="K1" s="515"/>
      <c r="L1" s="515"/>
      <c r="M1" s="515"/>
      <c r="N1" s="515"/>
    </row>
    <row r="2" spans="1:32" ht="22.5">
      <c r="G2" s="562"/>
    </row>
    <row r="3" spans="1:32">
      <c r="A3" s="458"/>
      <c r="B3" s="458"/>
      <c r="C3" s="458"/>
      <c r="D3" s="458"/>
      <c r="E3" s="517"/>
      <c r="F3" s="517"/>
      <c r="G3" s="517"/>
      <c r="H3" s="517"/>
      <c r="I3" s="458"/>
      <c r="J3" s="458"/>
      <c r="K3" s="458"/>
      <c r="L3" s="458"/>
      <c r="M3" s="458"/>
      <c r="N3" s="458"/>
      <c r="O3" s="458"/>
      <c r="P3" s="458"/>
      <c r="Q3" s="458"/>
      <c r="R3" s="458"/>
      <c r="S3" s="458"/>
      <c r="T3" s="458"/>
      <c r="U3" s="458"/>
      <c r="V3" s="458"/>
      <c r="W3" s="458"/>
      <c r="X3" s="458"/>
      <c r="Y3" s="458"/>
      <c r="Z3" s="458"/>
      <c r="AA3" s="458"/>
      <c r="AB3" s="458"/>
      <c r="AC3" s="458"/>
      <c r="AD3" s="458"/>
      <c r="AE3" s="458"/>
    </row>
    <row r="4" spans="1:32">
      <c r="A4" s="459"/>
      <c r="B4" s="503"/>
      <c r="C4" s="503"/>
      <c r="D4" s="503">
        <v>2022</v>
      </c>
      <c r="E4" s="503">
        <v>2023</v>
      </c>
      <c r="F4" s="503"/>
      <c r="G4" s="503"/>
      <c r="H4" s="503"/>
      <c r="I4" s="503"/>
      <c r="J4" s="503"/>
      <c r="K4" s="503"/>
      <c r="L4" s="503"/>
      <c r="M4" s="503"/>
      <c r="N4" s="503"/>
      <c r="O4" s="503"/>
      <c r="P4" s="503"/>
      <c r="Q4" s="503"/>
      <c r="R4" s="503"/>
      <c r="S4" s="503"/>
      <c r="T4" s="503"/>
      <c r="U4" s="503"/>
      <c r="V4" s="503"/>
      <c r="W4" s="503"/>
      <c r="X4" s="503"/>
      <c r="Y4" s="503"/>
      <c r="Z4" s="503"/>
      <c r="AA4" s="449"/>
      <c r="AF4" s="445"/>
    </row>
    <row r="5" spans="1:32">
      <c r="A5" s="460" t="s">
        <v>385</v>
      </c>
      <c r="AA5" s="449"/>
      <c r="AF5" s="445"/>
    </row>
    <row r="6" spans="1:32">
      <c r="A6" s="478" t="s">
        <v>133</v>
      </c>
      <c r="D6" s="461">
        <v>0</v>
      </c>
      <c r="E6" s="461">
        <v>0</v>
      </c>
      <c r="F6" s="461"/>
      <c r="G6" s="461"/>
      <c r="H6" s="461"/>
      <c r="I6" s="461"/>
      <c r="J6" s="461"/>
      <c r="K6" s="461"/>
      <c r="L6" s="461"/>
      <c r="M6" s="461"/>
      <c r="N6" s="461"/>
      <c r="O6" s="461"/>
      <c r="P6" s="461"/>
      <c r="Q6" s="461"/>
      <c r="R6" s="461"/>
      <c r="S6" s="461"/>
      <c r="T6" s="461"/>
      <c r="U6" s="461"/>
      <c r="V6" s="461"/>
      <c r="W6" s="461"/>
      <c r="X6" s="461"/>
      <c r="Y6" s="461"/>
      <c r="Z6" s="461"/>
      <c r="AA6" s="449"/>
      <c r="AF6" s="445"/>
    </row>
    <row r="7" spans="1:32">
      <c r="A7" s="478" t="s">
        <v>134</v>
      </c>
      <c r="D7" s="465">
        <v>0</v>
      </c>
      <c r="E7" s="465">
        <v>0</v>
      </c>
      <c r="F7" s="465"/>
      <c r="G7" s="461"/>
      <c r="H7" s="461"/>
      <c r="I7" s="461"/>
      <c r="J7" s="461"/>
      <c r="K7" s="461"/>
      <c r="L7" s="461"/>
      <c r="M7" s="461"/>
      <c r="N7" s="461"/>
      <c r="O7" s="461"/>
      <c r="P7" s="461"/>
      <c r="Q7" s="461"/>
      <c r="R7" s="461"/>
      <c r="S7" s="461"/>
      <c r="T7" s="461"/>
      <c r="U7" s="461"/>
      <c r="V7" s="461"/>
      <c r="W7" s="461"/>
      <c r="X7" s="461"/>
      <c r="Y7" s="461"/>
      <c r="Z7" s="461"/>
      <c r="AA7" s="449"/>
      <c r="AF7" s="445"/>
    </row>
    <row r="8" spans="1:32">
      <c r="A8" s="484" t="s">
        <v>135</v>
      </c>
      <c r="D8" s="461">
        <v>708000</v>
      </c>
      <c r="E8" s="461">
        <v>708000</v>
      </c>
      <c r="F8" s="461"/>
      <c r="G8" s="461"/>
      <c r="H8" s="461"/>
      <c r="I8" s="461"/>
      <c r="J8" s="461"/>
      <c r="K8" s="461"/>
      <c r="L8" s="461"/>
      <c r="M8" s="461"/>
      <c r="N8" s="461"/>
      <c r="O8" s="461"/>
      <c r="P8" s="461"/>
      <c r="Q8" s="461"/>
      <c r="R8" s="461"/>
      <c r="S8" s="461"/>
      <c r="T8" s="461"/>
      <c r="U8" s="461"/>
      <c r="V8" s="461"/>
      <c r="W8" s="461"/>
      <c r="X8" s="461"/>
      <c r="Y8" s="461"/>
      <c r="Z8" s="461"/>
      <c r="AA8" s="449"/>
      <c r="AF8" s="445"/>
    </row>
    <row r="9" spans="1:32">
      <c r="A9" s="484" t="s">
        <v>136</v>
      </c>
      <c r="C9" s="461"/>
      <c r="D9" s="465">
        <v>708000</v>
      </c>
      <c r="E9" s="465">
        <v>708000</v>
      </c>
      <c r="F9" s="465"/>
      <c r="G9" s="465"/>
      <c r="H9" s="465"/>
      <c r="I9" s="465"/>
      <c r="J9" s="465"/>
      <c r="K9" s="465"/>
      <c r="L9" s="465"/>
      <c r="M9" s="465"/>
      <c r="N9" s="465"/>
      <c r="O9" s="465"/>
      <c r="P9" s="465"/>
      <c r="Q9" s="465"/>
      <c r="R9" s="465"/>
      <c r="S9" s="465"/>
      <c r="T9" s="465"/>
      <c r="U9" s="465"/>
      <c r="V9" s="465"/>
      <c r="W9" s="465"/>
      <c r="X9" s="465"/>
      <c r="Y9" s="465"/>
      <c r="Z9" s="465"/>
      <c r="AA9" s="449"/>
      <c r="AF9" s="445"/>
    </row>
    <row r="10" spans="1:32">
      <c r="A10" s="484" t="s">
        <v>192</v>
      </c>
      <c r="C10" s="461"/>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49"/>
      <c r="AF10" s="445"/>
    </row>
    <row r="11" spans="1:32">
      <c r="A11" s="484" t="s">
        <v>137</v>
      </c>
      <c r="C11" s="461"/>
      <c r="D11" s="461">
        <v>708000</v>
      </c>
      <c r="E11" s="461">
        <v>708000</v>
      </c>
      <c r="F11" s="461"/>
      <c r="G11" s="461"/>
      <c r="H11" s="461"/>
      <c r="I11" s="461"/>
      <c r="J11" s="461"/>
      <c r="K11" s="461"/>
      <c r="L11" s="461"/>
      <c r="M11" s="461"/>
      <c r="N11" s="461"/>
      <c r="O11" s="461"/>
      <c r="P11" s="461"/>
      <c r="Q11" s="461"/>
      <c r="R11" s="461"/>
      <c r="S11" s="461"/>
      <c r="T11" s="461"/>
      <c r="U11" s="461"/>
      <c r="V11" s="461"/>
      <c r="W11" s="461"/>
      <c r="X11" s="461"/>
      <c r="Y11" s="461"/>
      <c r="Z11" s="461"/>
      <c r="AA11" s="449"/>
      <c r="AF11" s="445"/>
    </row>
    <row r="12" spans="1:32">
      <c r="A12" s="489" t="s">
        <v>138</v>
      </c>
      <c r="C12" s="488"/>
      <c r="D12" s="488">
        <v>2.3590297968554426E-3</v>
      </c>
      <c r="E12" s="488">
        <v>2.1057338196330158E-3</v>
      </c>
      <c r="F12" s="488"/>
      <c r="G12" s="488"/>
      <c r="H12" s="488"/>
      <c r="I12" s="488"/>
      <c r="J12" s="488"/>
      <c r="K12" s="488"/>
      <c r="L12" s="488"/>
      <c r="M12" s="488"/>
      <c r="N12" s="488"/>
      <c r="O12" s="488"/>
      <c r="P12" s="488"/>
      <c r="Q12" s="488"/>
      <c r="R12" s="488"/>
      <c r="S12" s="488"/>
      <c r="T12" s="488"/>
      <c r="U12" s="488"/>
      <c r="V12" s="488"/>
      <c r="W12" s="488"/>
      <c r="X12" s="488"/>
      <c r="Y12" s="488"/>
      <c r="Z12" s="488"/>
      <c r="AA12" s="449"/>
      <c r="AF12" s="445"/>
    </row>
    <row r="13" spans="1:32">
      <c r="A13" s="460" t="s">
        <v>139</v>
      </c>
      <c r="D13" s="465">
        <v>1670.1930961736534</v>
      </c>
      <c r="E13" s="465">
        <v>1490.8595443001752</v>
      </c>
      <c r="F13" s="465"/>
      <c r="G13" s="465"/>
      <c r="H13" s="465"/>
      <c r="I13" s="465"/>
      <c r="J13" s="465"/>
      <c r="K13" s="465"/>
      <c r="L13" s="465"/>
      <c r="M13" s="465"/>
      <c r="N13" s="465"/>
      <c r="O13" s="465"/>
      <c r="P13" s="465"/>
      <c r="Q13" s="465"/>
      <c r="R13" s="465"/>
      <c r="S13" s="465"/>
      <c r="T13" s="465"/>
      <c r="U13" s="465"/>
      <c r="V13" s="465"/>
      <c r="W13" s="465"/>
      <c r="X13" s="465"/>
      <c r="Y13" s="465"/>
      <c r="Z13" s="465"/>
      <c r="AA13" s="449"/>
      <c r="AF13" s="445"/>
    </row>
    <row r="14" spans="1:32">
      <c r="A14" s="518" t="s">
        <v>140</v>
      </c>
      <c r="D14" s="461">
        <v>65.106999999999999</v>
      </c>
      <c r="E14" s="461">
        <v>80.599000000000004</v>
      </c>
      <c r="F14" s="461"/>
      <c r="G14" s="461"/>
      <c r="H14" s="461"/>
      <c r="I14" s="461"/>
      <c r="J14" s="461"/>
      <c r="K14" s="461"/>
      <c r="L14" s="461"/>
      <c r="M14" s="461"/>
      <c r="N14" s="461"/>
      <c r="O14" s="461"/>
      <c r="P14" s="461"/>
      <c r="Q14" s="461"/>
      <c r="R14" s="461"/>
      <c r="S14" s="461"/>
      <c r="T14" s="461"/>
      <c r="U14" s="461"/>
      <c r="V14" s="461"/>
      <c r="W14" s="461"/>
      <c r="X14" s="461"/>
      <c r="Y14" s="461"/>
      <c r="Z14" s="461"/>
      <c r="AA14" s="449"/>
      <c r="AF14" s="445"/>
    </row>
    <row r="15" spans="1:32">
      <c r="AA15" s="449"/>
      <c r="AF15" s="445"/>
    </row>
    <row r="16" spans="1:32">
      <c r="A16" s="460" t="s">
        <v>383</v>
      </c>
      <c r="AA16" s="449"/>
      <c r="AF16" s="445"/>
    </row>
    <row r="17" spans="1:32">
      <c r="A17" s="484" t="s">
        <v>135</v>
      </c>
      <c r="D17" s="465">
        <v>113241</v>
      </c>
      <c r="E17" s="465">
        <v>113241</v>
      </c>
      <c r="F17" s="465"/>
      <c r="G17" s="465"/>
      <c r="H17" s="465"/>
      <c r="I17" s="465"/>
      <c r="J17" s="465"/>
      <c r="K17" s="465"/>
      <c r="L17" s="465"/>
      <c r="M17" s="465"/>
      <c r="N17" s="465"/>
      <c r="O17" s="465"/>
      <c r="P17" s="465"/>
      <c r="Q17" s="465"/>
      <c r="R17" s="465"/>
      <c r="S17" s="465"/>
      <c r="T17" s="465"/>
      <c r="U17" s="465"/>
      <c r="V17" s="465"/>
      <c r="W17" s="465"/>
      <c r="X17" s="465"/>
      <c r="Y17" s="465"/>
      <c r="Z17" s="465"/>
      <c r="AA17" s="449"/>
      <c r="AF17" s="445"/>
    </row>
    <row r="18" spans="1:32">
      <c r="A18" s="484" t="s">
        <v>136</v>
      </c>
      <c r="C18" s="461"/>
      <c r="D18" s="461">
        <v>113241</v>
      </c>
      <c r="E18" s="461">
        <v>113241</v>
      </c>
      <c r="F18" s="461"/>
      <c r="G18" s="461"/>
      <c r="H18" s="461"/>
      <c r="I18" s="461"/>
      <c r="J18" s="461"/>
      <c r="K18" s="461"/>
      <c r="L18" s="461"/>
      <c r="M18" s="461"/>
      <c r="N18" s="461"/>
      <c r="O18" s="461"/>
      <c r="P18" s="461"/>
      <c r="Q18" s="461"/>
      <c r="R18" s="461"/>
      <c r="S18" s="461"/>
      <c r="T18" s="461"/>
      <c r="U18" s="461"/>
      <c r="V18" s="461"/>
      <c r="W18" s="461"/>
      <c r="X18" s="461"/>
      <c r="Y18" s="461"/>
      <c r="Z18" s="461"/>
      <c r="AA18" s="449"/>
      <c r="AF18" s="445"/>
    </row>
    <row r="19" spans="1:32">
      <c r="A19" s="484" t="s">
        <v>192</v>
      </c>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49"/>
      <c r="AF19" s="445"/>
    </row>
    <row r="20" spans="1:32">
      <c r="A20" s="484" t="s">
        <v>137</v>
      </c>
      <c r="C20" s="461"/>
      <c r="D20" s="461">
        <v>113241</v>
      </c>
      <c r="E20" s="461">
        <v>113241</v>
      </c>
      <c r="F20" s="461"/>
      <c r="G20" s="461"/>
      <c r="H20" s="461"/>
      <c r="I20" s="461"/>
      <c r="J20" s="461"/>
      <c r="K20" s="461"/>
      <c r="L20" s="461"/>
      <c r="M20" s="461"/>
      <c r="N20" s="461"/>
      <c r="O20" s="461"/>
      <c r="P20" s="461"/>
      <c r="Q20" s="461"/>
      <c r="R20" s="461"/>
      <c r="S20" s="461"/>
      <c r="T20" s="461"/>
      <c r="U20" s="461"/>
      <c r="V20" s="461"/>
      <c r="W20" s="461"/>
      <c r="X20" s="461"/>
      <c r="Y20" s="461"/>
      <c r="Z20" s="461"/>
      <c r="AA20" s="449"/>
      <c r="AF20" s="445"/>
    </row>
    <row r="21" spans="1:32">
      <c r="A21" s="518" t="s">
        <v>384</v>
      </c>
      <c r="C21" s="465"/>
      <c r="D21" s="465">
        <v>267.13889322570719</v>
      </c>
      <c r="E21" s="465">
        <v>238.45540346906233</v>
      </c>
      <c r="F21" s="465"/>
      <c r="G21" s="465"/>
      <c r="H21" s="465"/>
      <c r="I21" s="465"/>
      <c r="J21" s="465"/>
      <c r="K21" s="465"/>
      <c r="L21" s="465"/>
      <c r="M21" s="465"/>
      <c r="N21" s="465"/>
      <c r="O21" s="465"/>
      <c r="P21" s="465"/>
      <c r="Q21" s="465"/>
      <c r="R21" s="465"/>
      <c r="S21" s="465"/>
      <c r="T21" s="465"/>
      <c r="U21" s="465"/>
      <c r="V21" s="465"/>
      <c r="W21" s="465"/>
      <c r="X21" s="465"/>
      <c r="Y21" s="465"/>
      <c r="Z21" s="465"/>
      <c r="AA21" s="449"/>
      <c r="AF21" s="445"/>
    </row>
    <row r="22" spans="1:32">
      <c r="A22" s="484" t="s">
        <v>141</v>
      </c>
      <c r="C22" s="461"/>
      <c r="D22" s="461">
        <v>0</v>
      </c>
      <c r="E22" s="461">
        <v>0</v>
      </c>
      <c r="F22" s="461"/>
      <c r="G22" s="461"/>
      <c r="H22" s="461"/>
      <c r="I22" s="461"/>
      <c r="J22" s="461"/>
      <c r="K22" s="461"/>
      <c r="L22" s="461"/>
      <c r="M22" s="461"/>
      <c r="N22" s="461"/>
      <c r="O22" s="461"/>
      <c r="P22" s="461"/>
      <c r="Q22" s="461"/>
      <c r="R22" s="461"/>
      <c r="S22" s="461"/>
      <c r="T22" s="461"/>
      <c r="U22" s="461"/>
      <c r="V22" s="461"/>
      <c r="W22" s="461"/>
      <c r="X22" s="461"/>
      <c r="Y22" s="461"/>
      <c r="Z22" s="461"/>
      <c r="AA22" s="449"/>
      <c r="AF22" s="445"/>
    </row>
    <row r="23" spans="1:32">
      <c r="AA23" s="449"/>
      <c r="AF23" s="445"/>
    </row>
    <row r="24" spans="1:32">
      <c r="A24" s="460" t="s">
        <v>142</v>
      </c>
      <c r="D24" s="464">
        <v>2002.4389893993607</v>
      </c>
      <c r="E24" s="464">
        <v>1809.9139477692374</v>
      </c>
      <c r="F24" s="464"/>
      <c r="G24" s="464"/>
      <c r="H24" s="464"/>
      <c r="I24" s="464"/>
      <c r="J24" s="464"/>
      <c r="K24" s="464"/>
      <c r="L24" s="464"/>
      <c r="M24" s="464"/>
      <c r="N24" s="464"/>
      <c r="O24" s="464"/>
      <c r="P24" s="464"/>
      <c r="Q24" s="464"/>
      <c r="R24" s="464"/>
      <c r="S24" s="464"/>
      <c r="T24" s="464"/>
      <c r="U24" s="464"/>
      <c r="V24" s="464"/>
      <c r="W24" s="464"/>
      <c r="X24" s="464"/>
      <c r="Y24" s="464"/>
      <c r="Z24" s="464"/>
      <c r="AA24" s="449"/>
      <c r="AF24" s="445"/>
    </row>
    <row r="25" spans="1:32">
      <c r="D25" s="465"/>
      <c r="E25" s="465"/>
      <c r="F25" s="465"/>
      <c r="G25" s="465"/>
      <c r="H25" s="465"/>
      <c r="I25" s="465"/>
      <c r="J25" s="465"/>
      <c r="K25" s="465"/>
      <c r="L25" s="465"/>
      <c r="M25" s="465"/>
      <c r="N25" s="465"/>
      <c r="O25" s="465"/>
      <c r="AA25" s="449"/>
      <c r="AF25" s="445"/>
    </row>
    <row r="26" spans="1:32">
      <c r="AA26" s="449"/>
      <c r="AF26" s="445"/>
    </row>
    <row r="27" spans="1:32">
      <c r="B27" s="460" t="s">
        <v>494</v>
      </c>
      <c r="D27" s="503">
        <v>2022</v>
      </c>
      <c r="E27" s="503">
        <v>2023</v>
      </c>
      <c r="F27" s="503"/>
      <c r="G27" s="503"/>
      <c r="H27" s="503"/>
      <c r="I27" s="503"/>
      <c r="J27" s="503"/>
      <c r="K27" s="503"/>
      <c r="L27" s="503"/>
      <c r="M27" s="503"/>
      <c r="N27" s="503"/>
      <c r="O27" s="503"/>
      <c r="P27" s="503"/>
      <c r="Q27" s="503"/>
      <c r="R27" s="503"/>
      <c r="S27" s="503"/>
      <c r="T27" s="503"/>
      <c r="U27" s="503"/>
      <c r="V27" s="503"/>
      <c r="W27" s="503"/>
      <c r="X27" s="503"/>
      <c r="Y27" s="503"/>
      <c r="Z27" s="503"/>
      <c r="AA27" s="449"/>
      <c r="AF27" s="445"/>
    </row>
    <row r="28" spans="1:32">
      <c r="B28" s="460" t="s">
        <v>520</v>
      </c>
      <c r="D28" s="520">
        <v>9.4361191874217706E-3</v>
      </c>
      <c r="E28" s="520">
        <v>8.4229352785320632E-3</v>
      </c>
      <c r="F28" s="520"/>
      <c r="G28" s="520"/>
      <c r="H28" s="520"/>
      <c r="I28" s="520"/>
      <c r="J28" s="520"/>
      <c r="K28" s="520"/>
      <c r="L28" s="520"/>
      <c r="M28" s="520"/>
      <c r="N28" s="520"/>
      <c r="O28" s="520"/>
      <c r="P28" s="520"/>
      <c r="Q28" s="520"/>
      <c r="R28" s="520"/>
      <c r="S28" s="520"/>
      <c r="T28" s="520"/>
      <c r="U28" s="520"/>
      <c r="V28" s="520"/>
      <c r="W28" s="520"/>
      <c r="X28" s="520"/>
      <c r="Y28" s="520"/>
      <c r="Z28" s="520"/>
      <c r="AA28" s="449"/>
      <c r="AF28" s="445"/>
    </row>
    <row r="29" spans="1:32">
      <c r="C29" s="460" t="s">
        <v>495</v>
      </c>
      <c r="D29" s="520">
        <v>2.3590297968554426E-3</v>
      </c>
      <c r="E29" s="520">
        <v>2.1057338196330158E-3</v>
      </c>
      <c r="F29" s="520"/>
      <c r="G29" s="520"/>
      <c r="H29" s="520"/>
      <c r="I29" s="520"/>
      <c r="J29" s="520"/>
      <c r="K29" s="520"/>
      <c r="L29" s="520"/>
      <c r="M29" s="520"/>
      <c r="N29" s="520"/>
      <c r="O29" s="520"/>
      <c r="P29" s="520"/>
      <c r="Q29" s="520"/>
      <c r="R29" s="520"/>
      <c r="S29" s="520"/>
      <c r="T29" s="520"/>
      <c r="U29" s="520"/>
      <c r="V29" s="520"/>
      <c r="W29" s="520"/>
      <c r="X29" s="520"/>
      <c r="Y29" s="520"/>
      <c r="Z29" s="520"/>
      <c r="AA29" s="449"/>
      <c r="AF29" s="445"/>
    </row>
    <row r="30" spans="1:32">
      <c r="AA30" s="449"/>
      <c r="AF30" s="445"/>
    </row>
    <row r="31" spans="1:32">
      <c r="AA31" s="449"/>
      <c r="AF31" s="445"/>
    </row>
    <row r="34" spans="32:32">
      <c r="AF34" s="445"/>
    </row>
    <row r="35" spans="32:32">
      <c r="AF35" s="445"/>
    </row>
    <row r="38" spans="32:32">
      <c r="AF38" s="445"/>
    </row>
    <row r="39" spans="32:32">
      <c r="AF39" s="445"/>
    </row>
  </sheetData>
  <customSheetViews>
    <customSheetView guid="{2226E858-00AE-4A92-8CF6-5B54D2FA62D4}" showPageBreaks="1">
      <selection activeCell="E19" sqref="E19"/>
      <pageMargins left="0.7" right="0.7" top="0.75" bottom="0.75" header="0.3" footer="0.3"/>
      <pageSetup orientation="portrait" r:id="rId1"/>
    </customSheetView>
  </customSheetViews>
  <mergeCells count="3">
    <mergeCell ref="E3:F3"/>
    <mergeCell ref="A1:N1"/>
    <mergeCell ref="G3:H3"/>
  </mergeCell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3399"/>
    <pageSetUpPr autoPageBreaks="0" fitToPage="1"/>
  </sheetPr>
  <dimension ref="A1:T80"/>
  <sheetViews>
    <sheetView workbookViewId="0">
      <pane ySplit="12" topLeftCell="A13" activePane="bottomLeft" state="frozen"/>
      <selection activeCell="L36" sqref="L36"/>
      <selection pane="bottomLeft" activeCell="L36" sqref="L36"/>
    </sheetView>
  </sheetViews>
  <sheetFormatPr defaultColWidth="9.140625" defaultRowHeight="14.25"/>
  <cols>
    <col min="1" max="2" width="9.140625" style="93"/>
    <col min="3" max="3" width="29.28515625" style="93" customWidth="1"/>
    <col min="4" max="11" width="15.7109375" style="93" customWidth="1"/>
    <col min="12" max="12" width="25.140625" style="132" bestFit="1" customWidth="1"/>
    <col min="13" max="13" width="25.140625" style="93" bestFit="1" customWidth="1"/>
    <col min="14" max="14" width="9.140625" style="93"/>
    <col min="15" max="15" width="9.5703125" style="93" bestFit="1" customWidth="1"/>
    <col min="16" max="19" width="9.140625" style="93"/>
    <col min="20" max="20" width="10.5703125" style="93" bestFit="1" customWidth="1"/>
    <col min="21" max="16384" width="9.140625" style="93"/>
  </cols>
  <sheetData>
    <row r="1" spans="1:13" ht="18">
      <c r="A1" s="418" t="s">
        <v>282</v>
      </c>
      <c r="B1" s="419"/>
      <c r="C1" s="419"/>
      <c r="D1" s="419"/>
      <c r="E1" s="419"/>
      <c r="F1" s="419"/>
      <c r="G1" s="419"/>
      <c r="H1" s="419"/>
      <c r="I1" s="419"/>
      <c r="J1" s="419"/>
      <c r="K1" s="420"/>
    </row>
    <row r="2" spans="1:13" ht="18">
      <c r="A2" s="121"/>
      <c r="B2" s="127" t="s">
        <v>522</v>
      </c>
      <c r="C2" s="94">
        <v>43363</v>
      </c>
      <c r="D2" s="119"/>
      <c r="E2" s="98"/>
      <c r="F2" s="148" t="s">
        <v>377</v>
      </c>
      <c r="G2" s="149"/>
      <c r="H2" s="139"/>
      <c r="I2" s="148" t="s">
        <v>380</v>
      </c>
      <c r="J2" s="140"/>
      <c r="K2" s="150"/>
    </row>
    <row r="3" spans="1:13" ht="18">
      <c r="A3" s="121"/>
      <c r="B3" s="127" t="s">
        <v>74</v>
      </c>
      <c r="C3" s="95" t="s">
        <v>523</v>
      </c>
      <c r="D3" s="119"/>
      <c r="E3" s="98"/>
      <c r="F3" s="151" t="s">
        <v>378</v>
      </c>
      <c r="G3" s="152" t="s">
        <v>237</v>
      </c>
      <c r="H3" s="139"/>
      <c r="I3" s="153" t="s">
        <v>241</v>
      </c>
      <c r="J3" s="139"/>
      <c r="K3" s="150"/>
    </row>
    <row r="4" spans="1:13" ht="18" customHeight="1">
      <c r="A4" s="121"/>
      <c r="B4" s="127" t="s">
        <v>10</v>
      </c>
      <c r="C4" s="154" t="s">
        <v>381</v>
      </c>
      <c r="D4" s="119"/>
      <c r="E4" s="98"/>
      <c r="F4" s="145">
        <v>43356</v>
      </c>
      <c r="G4" s="155" t="s">
        <v>367</v>
      </c>
      <c r="H4" s="139"/>
      <c r="I4" s="156" t="s">
        <v>88</v>
      </c>
      <c r="J4" s="119"/>
      <c r="K4" s="150"/>
      <c r="M4" s="92"/>
    </row>
    <row r="5" spans="1:13" ht="18" customHeight="1">
      <c r="A5" s="121"/>
      <c r="B5" s="128" t="s">
        <v>9</v>
      </c>
      <c r="C5" s="154" t="s">
        <v>514</v>
      </c>
      <c r="D5" s="96"/>
      <c r="F5" s="145">
        <v>43356</v>
      </c>
      <c r="G5" s="157" t="s">
        <v>369</v>
      </c>
      <c r="H5" s="139"/>
      <c r="I5" s="142" t="s">
        <v>368</v>
      </c>
      <c r="J5" s="96"/>
      <c r="K5" s="150"/>
      <c r="M5" s="92"/>
    </row>
    <row r="6" spans="1:13" ht="15">
      <c r="A6" s="121"/>
      <c r="B6" s="128" t="s">
        <v>364</v>
      </c>
      <c r="C6" s="95"/>
      <c r="D6" s="96"/>
      <c r="E6" s="158"/>
      <c r="F6" s="145">
        <v>43361</v>
      </c>
      <c r="G6" s="159" t="s">
        <v>447</v>
      </c>
      <c r="H6" s="139"/>
      <c r="I6" s="160" t="s">
        <v>365</v>
      </c>
      <c r="J6" s="96"/>
      <c r="K6" s="150"/>
      <c r="M6" s="92"/>
    </row>
    <row r="7" spans="1:13" ht="15">
      <c r="A7" s="121"/>
      <c r="B7" s="128" t="s">
        <v>363</v>
      </c>
      <c r="C7" s="95"/>
      <c r="D7" s="96"/>
      <c r="E7" s="158"/>
      <c r="F7" s="146">
        <v>43363</v>
      </c>
      <c r="G7" s="97" t="s">
        <v>450</v>
      </c>
      <c r="H7" s="139"/>
      <c r="I7" s="141"/>
      <c r="J7" s="96"/>
      <c r="K7" s="114"/>
      <c r="M7" s="92"/>
    </row>
    <row r="8" spans="1:13" ht="15">
      <c r="A8" s="121"/>
      <c r="B8" s="128" t="s">
        <v>271</v>
      </c>
      <c r="C8" s="161">
        <v>2018</v>
      </c>
      <c r="D8" s="96"/>
      <c r="E8" s="141"/>
      <c r="F8" s="158"/>
      <c r="G8" s="139"/>
      <c r="H8" s="141"/>
      <c r="I8" s="141"/>
      <c r="J8" s="96"/>
      <c r="K8" s="114"/>
      <c r="M8" s="92"/>
    </row>
    <row r="9" spans="1:13" ht="15">
      <c r="A9" s="121"/>
      <c r="B9" s="128"/>
      <c r="C9" s="131"/>
      <c r="D9" s="96"/>
      <c r="E9" s="141"/>
      <c r="F9" s="421"/>
      <c r="G9" s="421"/>
      <c r="H9" s="421"/>
      <c r="I9" s="421"/>
      <c r="J9" s="141"/>
      <c r="K9" s="114"/>
      <c r="M9" s="92"/>
    </row>
    <row r="10" spans="1:13" ht="15">
      <c r="A10" s="422"/>
      <c r="B10" s="423"/>
      <c r="C10" s="143"/>
      <c r="D10" s="116"/>
      <c r="E10" s="116"/>
      <c r="F10" s="116"/>
      <c r="G10" s="116"/>
      <c r="H10" s="116"/>
      <c r="I10" s="116"/>
      <c r="J10" s="116"/>
      <c r="K10" s="117"/>
      <c r="M10" s="92"/>
    </row>
    <row r="11" spans="1:13" ht="15" thickBot="1">
      <c r="A11" s="98"/>
      <c r="B11" s="98"/>
      <c r="C11" s="98"/>
      <c r="D11" s="98"/>
      <c r="E11" s="98"/>
      <c r="F11" s="98"/>
      <c r="G11" s="98"/>
      <c r="H11" s="98"/>
      <c r="I11" s="98"/>
      <c r="J11" s="98"/>
      <c r="K11" s="98"/>
      <c r="M11" s="92"/>
    </row>
    <row r="12" spans="1:13" ht="29.25" customHeight="1">
      <c r="A12" s="424">
        <f>C8</f>
        <v>2018</v>
      </c>
      <c r="B12" s="425"/>
      <c r="C12" s="425"/>
      <c r="D12" s="162" t="s">
        <v>171</v>
      </c>
      <c r="E12" s="163" t="s">
        <v>172</v>
      </c>
      <c r="F12" s="163" t="s">
        <v>173</v>
      </c>
      <c r="G12" s="163" t="s">
        <v>174</v>
      </c>
      <c r="H12" s="163" t="s">
        <v>175</v>
      </c>
      <c r="I12" s="163" t="s">
        <v>176</v>
      </c>
      <c r="J12" s="163" t="s">
        <v>177</v>
      </c>
      <c r="K12" s="164" t="s">
        <v>178</v>
      </c>
      <c r="L12" s="165"/>
      <c r="M12" s="165"/>
    </row>
    <row r="13" spans="1:13" ht="15">
      <c r="A13" s="166" t="s">
        <v>262</v>
      </c>
      <c r="B13" s="130"/>
      <c r="C13" s="130"/>
      <c r="D13" s="129"/>
      <c r="E13" s="129"/>
      <c r="F13" s="129"/>
      <c r="G13" s="129"/>
      <c r="H13" s="129"/>
      <c r="I13" s="129"/>
      <c r="J13" s="129"/>
      <c r="K13" s="167"/>
      <c r="L13" s="136"/>
      <c r="M13" s="92"/>
    </row>
    <row r="14" spans="1:13" ht="15">
      <c r="A14" s="168" t="s">
        <v>179</v>
      </c>
      <c r="B14" s="169"/>
      <c r="C14" s="169"/>
      <c r="D14" s="170">
        <f>SUM(E14:K14)</f>
        <v>6129285.7073825682</v>
      </c>
      <c r="E14" s="107">
        <f>'[1]Seg Inv Base'!E$40</f>
        <v>94062.494407769234</v>
      </c>
      <c r="F14" s="107">
        <f>'[1]Seg Inv Base'!F$40</f>
        <v>5015904.63797794</v>
      </c>
      <c r="G14" s="107">
        <f>'[1]Seg Inv Base'!G$40</f>
        <v>741664.03299930389</v>
      </c>
      <c r="H14" s="107">
        <f>'[1]Seg Inv Base'!H$40</f>
        <v>75949.917018195469</v>
      </c>
      <c r="I14" s="107">
        <f>'[1]Seg Inv Base'!I$40</f>
        <v>13062.192920878904</v>
      </c>
      <c r="J14" s="107">
        <f>'[1]Seg Inv Base'!J$40</f>
        <v>5629.7672906089911</v>
      </c>
      <c r="K14" s="106">
        <f>'[1]Seg Inv Base'!K$40</f>
        <v>183012.66476787149</v>
      </c>
      <c r="L14" s="171"/>
      <c r="M14" s="92"/>
    </row>
    <row r="15" spans="1:13">
      <c r="A15" s="172" t="s">
        <v>240</v>
      </c>
      <c r="B15" s="173"/>
      <c r="C15" s="173"/>
      <c r="D15" s="174">
        <f>SUM(E15:K15)</f>
        <v>1</v>
      </c>
      <c r="E15" s="175">
        <f>E14/D14</f>
        <v>1.5346403952824937E-2</v>
      </c>
      <c r="F15" s="175">
        <f>F14/D14</f>
        <v>0.81835060028877604</v>
      </c>
      <c r="G15" s="175">
        <f>G14/D14</f>
        <v>0.12100333846503329</v>
      </c>
      <c r="H15" s="175">
        <f>H14/D14</f>
        <v>1.2391316157234395E-2</v>
      </c>
      <c r="I15" s="175">
        <f>I14/D14</f>
        <v>2.1311117713350885E-3</v>
      </c>
      <c r="J15" s="175">
        <f>J14/D14</f>
        <v>9.1850299682197552E-4</v>
      </c>
      <c r="K15" s="176">
        <f>K14/D14</f>
        <v>2.9858726367974233E-2</v>
      </c>
      <c r="L15" s="171"/>
      <c r="M15" s="92"/>
    </row>
    <row r="16" spans="1:13">
      <c r="A16" s="177" t="s">
        <v>82</v>
      </c>
      <c r="B16" s="173"/>
      <c r="C16" s="173"/>
      <c r="D16" s="99"/>
      <c r="E16" s="99"/>
      <c r="F16" s="99"/>
      <c r="G16" s="99"/>
      <c r="H16" s="99"/>
      <c r="I16" s="99"/>
      <c r="J16" s="99"/>
      <c r="K16" s="100"/>
      <c r="L16" s="120"/>
      <c r="M16" s="92"/>
    </row>
    <row r="17" spans="1:13">
      <c r="A17" s="168"/>
      <c r="B17" s="173" t="s">
        <v>482</v>
      </c>
      <c r="C17" s="173"/>
      <c r="D17" s="170">
        <f>SUM(E17:K17)</f>
        <v>4258.7738650591473</v>
      </c>
      <c r="E17" s="102"/>
      <c r="F17" s="104">
        <v>4243.9425950591476</v>
      </c>
      <c r="G17" s="104">
        <v>14.83127</v>
      </c>
      <c r="H17" s="102"/>
      <c r="I17" s="102"/>
      <c r="J17" s="102"/>
      <c r="K17" s="101"/>
      <c r="L17" s="171"/>
      <c r="M17" s="92"/>
    </row>
    <row r="18" spans="1:13">
      <c r="A18" s="168"/>
      <c r="B18" s="173" t="s">
        <v>483</v>
      </c>
      <c r="C18" s="173"/>
      <c r="D18" s="170">
        <f>SUM(E18:K18)</f>
        <v>-56.360042330999995</v>
      </c>
      <c r="E18" s="102"/>
      <c r="F18" s="103">
        <v>-56.360042330999995</v>
      </c>
      <c r="G18" s="102"/>
      <c r="H18" s="102"/>
      <c r="I18" s="102"/>
      <c r="J18" s="102"/>
      <c r="K18" s="101"/>
      <c r="L18" s="171"/>
      <c r="M18" s="92"/>
    </row>
    <row r="19" spans="1:13">
      <c r="A19" s="168"/>
      <c r="B19" s="173" t="s">
        <v>479</v>
      </c>
      <c r="C19" s="173"/>
      <c r="D19" s="170">
        <f>SUM(E19:K19)</f>
        <v>4202.4138227281474</v>
      </c>
      <c r="E19" s="102"/>
      <c r="F19" s="170">
        <f>SUM(F17:F18)</f>
        <v>4187.5825527281477</v>
      </c>
      <c r="G19" s="170">
        <f>SUM(G17:G18)</f>
        <v>14.83127</v>
      </c>
      <c r="H19" s="102"/>
      <c r="I19" s="102"/>
      <c r="J19" s="102"/>
      <c r="K19" s="101"/>
      <c r="L19" s="171"/>
      <c r="M19" s="92"/>
    </row>
    <row r="20" spans="1:13">
      <c r="A20" s="178" t="s">
        <v>180</v>
      </c>
      <c r="B20" s="173"/>
      <c r="C20" s="173"/>
      <c r="D20" s="105">
        <v>136265.20439799028</v>
      </c>
      <c r="E20" s="170">
        <f>D20*E15</f>
        <v>2091.1808714058161</v>
      </c>
      <c r="F20" s="170">
        <f>D20*F15</f>
        <v>111512.71181756811</v>
      </c>
      <c r="G20" s="170">
        <f>D20*G15</f>
        <v>16488.544648776962</v>
      </c>
      <c r="H20" s="170">
        <f>D20*H15</f>
        <v>1688.5052289256644</v>
      </c>
      <c r="I20" s="170">
        <f>D20*I15</f>
        <v>290.39638111593894</v>
      </c>
      <c r="J20" s="170">
        <f>D20*J15</f>
        <v>125.15999860211311</v>
      </c>
      <c r="K20" s="179">
        <f>D20*K15</f>
        <v>4068.7054515956706</v>
      </c>
      <c r="L20" s="171"/>
      <c r="M20" s="92"/>
    </row>
    <row r="21" spans="1:13" ht="15">
      <c r="A21" s="180" t="s">
        <v>181</v>
      </c>
      <c r="B21" s="169"/>
      <c r="C21" s="169"/>
      <c r="D21" s="181">
        <f>D20+D19</f>
        <v>140467.61822071843</v>
      </c>
      <c r="E21" s="181">
        <f t="shared" ref="E21:K21" si="0">E20+E19</f>
        <v>2091.1808714058161</v>
      </c>
      <c r="F21" s="181">
        <f t="shared" si="0"/>
        <v>115700.29437029625</v>
      </c>
      <c r="G21" s="181">
        <f t="shared" si="0"/>
        <v>16503.375918776961</v>
      </c>
      <c r="H21" s="181">
        <f t="shared" si="0"/>
        <v>1688.5052289256644</v>
      </c>
      <c r="I21" s="181">
        <f t="shared" si="0"/>
        <v>290.39638111593894</v>
      </c>
      <c r="J21" s="181">
        <f t="shared" si="0"/>
        <v>125.15999860211311</v>
      </c>
      <c r="K21" s="182">
        <f t="shared" si="0"/>
        <v>4068.7054515956706</v>
      </c>
      <c r="L21" s="171"/>
      <c r="M21" s="92"/>
    </row>
    <row r="22" spans="1:13">
      <c r="A22" s="177" t="s">
        <v>185</v>
      </c>
      <c r="B22" s="173"/>
      <c r="C22" s="173"/>
      <c r="D22" s="99"/>
      <c r="E22" s="99"/>
      <c r="F22" s="99"/>
      <c r="G22" s="99"/>
      <c r="H22" s="99"/>
      <c r="I22" s="99"/>
      <c r="J22" s="99"/>
      <c r="K22" s="100"/>
      <c r="L22" s="120"/>
      <c r="M22" s="92"/>
    </row>
    <row r="23" spans="1:13">
      <c r="A23" s="168"/>
      <c r="B23" s="173" t="s">
        <v>478</v>
      </c>
      <c r="C23" s="173"/>
      <c r="D23" s="99"/>
      <c r="E23" s="99"/>
      <c r="F23" s="104">
        <v>14911.587473879559</v>
      </c>
      <c r="G23" s="104">
        <v>747.93399999999986</v>
      </c>
      <c r="H23" s="99"/>
      <c r="I23" s="99"/>
      <c r="J23" s="99"/>
      <c r="K23" s="100"/>
      <c r="L23" s="171"/>
      <c r="M23" s="92"/>
    </row>
    <row r="24" spans="1:13">
      <c r="A24" s="168"/>
      <c r="B24" s="173" t="s">
        <v>479</v>
      </c>
      <c r="C24" s="173"/>
      <c r="D24" s="99"/>
      <c r="E24" s="99"/>
      <c r="F24" s="183">
        <f>F19</f>
        <v>4187.5825527281477</v>
      </c>
      <c r="G24" s="183">
        <f>G19</f>
        <v>14.83127</v>
      </c>
      <c r="H24" s="99"/>
      <c r="I24" s="99"/>
      <c r="J24" s="99"/>
      <c r="K24" s="100"/>
      <c r="L24" s="171"/>
      <c r="M24" s="92"/>
    </row>
    <row r="25" spans="1:13">
      <c r="A25" s="168"/>
      <c r="B25" s="173" t="s">
        <v>480</v>
      </c>
      <c r="C25" s="173"/>
      <c r="D25" s="99"/>
      <c r="E25" s="99"/>
      <c r="F25" s="184" t="e">
        <f>SUM(VLOOKUP($A$12,'[1]Customer Funded'!$B$19:$M$60,6,FALSE),VLOOKUP($A$12,'[1]Customer Funded'!$B$19:$M$60,7,FALSE))</f>
        <v>#N/A</v>
      </c>
      <c r="G25" s="185">
        <v>280.253244</v>
      </c>
      <c r="H25" s="99"/>
      <c r="I25" s="99"/>
      <c r="J25" s="99"/>
      <c r="K25" s="100"/>
      <c r="L25" s="171"/>
      <c r="M25" s="92"/>
    </row>
    <row r="26" spans="1:13">
      <c r="A26" s="168"/>
      <c r="B26" s="173" t="s">
        <v>481</v>
      </c>
      <c r="C26" s="173"/>
      <c r="D26" s="183" t="e">
        <f>F26+G26</f>
        <v>#N/A</v>
      </c>
      <c r="E26" s="99"/>
      <c r="F26" s="183" t="e">
        <f>F23-F24-F25</f>
        <v>#N/A</v>
      </c>
      <c r="G26" s="183">
        <f>G23-G24-G25</f>
        <v>452.84948599999984</v>
      </c>
      <c r="H26" s="99"/>
      <c r="I26" s="99"/>
      <c r="J26" s="99"/>
      <c r="K26" s="100"/>
      <c r="L26" s="171"/>
      <c r="M26" s="92"/>
    </row>
    <row r="27" spans="1:13">
      <c r="A27" s="186" t="s">
        <v>463</v>
      </c>
      <c r="B27" s="173"/>
      <c r="C27" s="173"/>
      <c r="D27" s="110">
        <v>-2823.6865618237616</v>
      </c>
      <c r="E27" s="170">
        <f>D27*E15</f>
        <v>-43.333434613910832</v>
      </c>
      <c r="F27" s="170">
        <f>D27*F15</f>
        <v>-2310.7655928958256</v>
      </c>
      <c r="G27" s="170">
        <f>D27*G15</f>
        <v>-341.67550075952676</v>
      </c>
      <c r="H27" s="170">
        <f>D27*H15</f>
        <v>-34.989192916492414</v>
      </c>
      <c r="I27" s="170">
        <f>D27*I15</f>
        <v>-6.0175916704633226</v>
      </c>
      <c r="J27" s="170">
        <f>D27*J15</f>
        <v>-2.5935645691210656</v>
      </c>
      <c r="K27" s="179">
        <f>D27*K15</f>
        <v>-84.311684398421662</v>
      </c>
      <c r="L27" s="171"/>
      <c r="M27" s="92"/>
    </row>
    <row r="28" spans="1:13" ht="15">
      <c r="A28" s="180" t="s">
        <v>186</v>
      </c>
      <c r="B28" s="173"/>
      <c r="C28" s="173"/>
      <c r="D28" s="181" t="e">
        <f>D27+D26</f>
        <v>#N/A</v>
      </c>
      <c r="E28" s="181">
        <f t="shared" ref="E28:K28" si="1">E27+E26</f>
        <v>-43.333434613910832</v>
      </c>
      <c r="F28" s="181" t="e">
        <f t="shared" si="1"/>
        <v>#N/A</v>
      </c>
      <c r="G28" s="181">
        <f t="shared" si="1"/>
        <v>111.17398524047309</v>
      </c>
      <c r="H28" s="181">
        <f t="shared" si="1"/>
        <v>-34.989192916492414</v>
      </c>
      <c r="I28" s="181">
        <f t="shared" si="1"/>
        <v>-6.0175916704633226</v>
      </c>
      <c r="J28" s="181">
        <f t="shared" si="1"/>
        <v>-2.5935645691210656</v>
      </c>
      <c r="K28" s="182">
        <f t="shared" si="1"/>
        <v>-84.311684398421662</v>
      </c>
      <c r="L28" s="171"/>
      <c r="M28" s="92"/>
    </row>
    <row r="29" spans="1:13" ht="15">
      <c r="A29" s="177" t="s">
        <v>190</v>
      </c>
      <c r="B29" s="173"/>
      <c r="C29" s="173"/>
      <c r="D29" s="125"/>
      <c r="E29" s="125"/>
      <c r="F29" s="125"/>
      <c r="G29" s="125"/>
      <c r="H29" s="125"/>
      <c r="I29" s="125"/>
      <c r="J29" s="125"/>
      <c r="K29" s="124"/>
      <c r="L29" s="120"/>
      <c r="M29" s="92"/>
    </row>
    <row r="30" spans="1:13">
      <c r="A30" s="187" t="s">
        <v>525</v>
      </c>
      <c r="B30" s="173"/>
      <c r="C30" s="173"/>
      <c r="D30" s="170" t="e">
        <f>SUM(E30:K30)</f>
        <v>#N/A</v>
      </c>
      <c r="E30" s="184" t="e">
        <f>SUM(VLOOKUP($A$12,'[1]Depr Calc'!$A$20:$AG$39,4,FALSE),VLOOKUP($A$12,'[1]Depr Calc'!$A$42:$AG$61,4,FALSE))</f>
        <v>#N/A</v>
      </c>
      <c r="F30" s="184" t="e">
        <f>SUM(VLOOKUP($A$12,'[1]Depr Calc'!$A$20:$AG$39,8,FALSE),VLOOKUP($A$12,'[1]Depr Calc'!$A$42:$AG$61,8,FALSE),VLOOKUP($A$12,'[1]Depr Calc'!$A$64:$M$83,4,FALSE),VLOOKUP($A$12,'[1]Depr Sum by Asset'!$A$18:$L$36,8,FALSE))</f>
        <v>#N/A</v>
      </c>
      <c r="G30" s="184" t="e">
        <f>SUM(VLOOKUP($A$12,'[1]Depr Calc'!$A$20:$AG$39,12,FALSE),VLOOKUP($A$12,'[1]Depr Calc'!$A$42:$AG$61,12,FALSE),VLOOKUP($A$12,'[1]Depr Calc'!$A$64:$M$83,8,FALSE))</f>
        <v>#N/A</v>
      </c>
      <c r="H30" s="184" t="e">
        <f>SUM(VLOOKUP($A$12,'[1]Depr Calc'!$A$20:$AG$39,16,FALSE),VLOOKUP($A$12,'[1]Depr Calc'!$A$42:$AG$61,16,FALSE))</f>
        <v>#N/A</v>
      </c>
      <c r="I30" s="184" t="e">
        <f>SUM(VLOOKUP($A$12,'[1]Depr Calc'!$A$20:$AG$39,20,FALSE),VLOOKUP($A$12,'[1]Depr Calc'!$A$42:$AG$61,20,FALSE))</f>
        <v>#N/A</v>
      </c>
      <c r="J30" s="184" t="e">
        <f>SUM(VLOOKUP($A$12,'[1]Depr Calc'!$A$20:$AG$39,24,FALSE),VLOOKUP($A$12,'[1]Depr Calc'!$A$42:$AG$61,24,FALSE))</f>
        <v>#N/A</v>
      </c>
      <c r="K30" s="188" t="e">
        <f>VLOOKUP($A$12,'[1]Depr Sum by Asset'!$A$18:$M$36,6,FALSE)</f>
        <v>#N/A</v>
      </c>
      <c r="L30" s="171"/>
      <c r="M30" s="92"/>
    </row>
    <row r="31" spans="1:13">
      <c r="A31" s="187" t="s">
        <v>187</v>
      </c>
      <c r="B31" s="173"/>
      <c r="C31" s="173"/>
      <c r="D31" s="189">
        <f>SUM(E31:K31)</f>
        <v>1</v>
      </c>
      <c r="E31" s="190">
        <f>E49/D49</f>
        <v>1.5697394245967843E-2</v>
      </c>
      <c r="F31" s="190">
        <f>F49/D49</f>
        <v>0.62799332081339521</v>
      </c>
      <c r="G31" s="190">
        <f>G49/D49</f>
        <v>8.2943113021644935E-2</v>
      </c>
      <c r="H31" s="190">
        <f>H49/D49</f>
        <v>1.1496971559510048E-2</v>
      </c>
      <c r="I31" s="190">
        <f>I49/D49</f>
        <v>4.487726181543179E-3</v>
      </c>
      <c r="J31" s="190">
        <f>J49/D49</f>
        <v>1.5923639944477382E-3</v>
      </c>
      <c r="K31" s="191">
        <f>K49/D49</f>
        <v>0.2557891101834911</v>
      </c>
      <c r="L31" s="171"/>
      <c r="M31" s="92"/>
    </row>
    <row r="32" spans="1:13">
      <c r="A32" s="187" t="s">
        <v>188</v>
      </c>
      <c r="B32" s="173"/>
      <c r="C32" s="173"/>
      <c r="D32" s="107" t="e">
        <f>VLOOKUP($A$12,'[1]GP Depr'!$A$76:$E$91,3,FALSE)</f>
        <v>#N/A</v>
      </c>
      <c r="E32" s="170" t="e">
        <f>D32*E31</f>
        <v>#N/A</v>
      </c>
      <c r="F32" s="170" t="e">
        <f>D32*F31</f>
        <v>#N/A</v>
      </c>
      <c r="G32" s="170" t="e">
        <f>D32*G31</f>
        <v>#N/A</v>
      </c>
      <c r="H32" s="170" t="e">
        <f>D32*H31</f>
        <v>#N/A</v>
      </c>
      <c r="I32" s="170" t="e">
        <f>D32*I31</f>
        <v>#N/A</v>
      </c>
      <c r="J32" s="170" t="e">
        <f>D32*J31</f>
        <v>#N/A</v>
      </c>
      <c r="K32" s="179" t="e">
        <f>D32*K31</f>
        <v>#N/A</v>
      </c>
      <c r="L32" s="171"/>
      <c r="M32" s="92"/>
    </row>
    <row r="33" spans="1:20" ht="15">
      <c r="A33" s="180" t="s">
        <v>189</v>
      </c>
      <c r="B33" s="173"/>
      <c r="C33" s="173"/>
      <c r="D33" s="181" t="e">
        <f>SUM(E33:K33)</f>
        <v>#N/A</v>
      </c>
      <c r="E33" s="181" t="e">
        <f t="shared" ref="E33:K33" si="2">E32+E30</f>
        <v>#N/A</v>
      </c>
      <c r="F33" s="181" t="e">
        <f t="shared" si="2"/>
        <v>#N/A</v>
      </c>
      <c r="G33" s="181" t="e">
        <f t="shared" si="2"/>
        <v>#N/A</v>
      </c>
      <c r="H33" s="181" t="e">
        <f t="shared" si="2"/>
        <v>#N/A</v>
      </c>
      <c r="I33" s="181" t="e">
        <f t="shared" si="2"/>
        <v>#N/A</v>
      </c>
      <c r="J33" s="181" t="e">
        <f t="shared" si="2"/>
        <v>#N/A</v>
      </c>
      <c r="K33" s="182" t="e">
        <f t="shared" si="2"/>
        <v>#N/A</v>
      </c>
      <c r="L33" s="171"/>
      <c r="M33" s="92"/>
    </row>
    <row r="34" spans="1:20" ht="9" customHeight="1">
      <c r="A34" s="168"/>
      <c r="B34" s="173"/>
      <c r="C34" s="173"/>
      <c r="D34" s="99"/>
      <c r="E34" s="99"/>
      <c r="F34" s="99"/>
      <c r="G34" s="99"/>
      <c r="H34" s="99"/>
      <c r="I34" s="99"/>
      <c r="J34" s="99"/>
      <c r="K34" s="100"/>
      <c r="L34" s="120"/>
    </row>
    <row r="35" spans="1:20" ht="15">
      <c r="A35" s="166" t="s">
        <v>239</v>
      </c>
      <c r="B35" s="173"/>
      <c r="C35" s="173"/>
      <c r="D35" s="99"/>
      <c r="E35" s="99"/>
      <c r="F35" s="99"/>
      <c r="G35" s="99"/>
      <c r="H35" s="99"/>
      <c r="I35" s="99"/>
      <c r="J35" s="99"/>
      <c r="K35" s="100"/>
      <c r="L35" s="120"/>
    </row>
    <row r="36" spans="1:20">
      <c r="A36" s="192" t="s">
        <v>499</v>
      </c>
      <c r="B36" s="173"/>
      <c r="C36" s="173"/>
      <c r="D36" s="99"/>
      <c r="E36" s="99"/>
      <c r="F36" s="99"/>
      <c r="G36" s="99"/>
      <c r="H36" s="99"/>
      <c r="I36" s="99"/>
      <c r="J36" s="99"/>
      <c r="K36" s="100"/>
      <c r="L36" s="120"/>
    </row>
    <row r="37" spans="1:20">
      <c r="A37" s="193" t="s">
        <v>286</v>
      </c>
      <c r="B37" s="173"/>
      <c r="C37" s="173"/>
      <c r="D37" s="194">
        <f>SUM(E37:J37)</f>
        <v>53823.005644218851</v>
      </c>
      <c r="E37" s="195">
        <f>'[2]T4.1 - OperMaint'!$D$24/1000</f>
        <v>618.34147943144103</v>
      </c>
      <c r="F37" s="195">
        <f>'[2]T4.1 - OperMaint'!$E$24/1000</f>
        <v>48832.749636183224</v>
      </c>
      <c r="G37" s="195">
        <f>'[2]T4.1 - OperMaint'!$F$24/1000</f>
        <v>2251.9919741894219</v>
      </c>
      <c r="H37" s="195">
        <f>'[2]T4.1 - OperMaint'!$G$24/1000</f>
        <v>2106.6816600118982</v>
      </c>
      <c r="I37" s="195">
        <f>'[2]T4.1 - OperMaint'!$H$24/1000</f>
        <v>13.240894402875242</v>
      </c>
      <c r="J37" s="195">
        <f>'[2]T4.1 - OperMaint'!$I$24/1000</f>
        <v>0</v>
      </c>
      <c r="K37" s="100"/>
      <c r="L37" s="171"/>
    </row>
    <row r="38" spans="1:20">
      <c r="A38" s="193" t="s">
        <v>287</v>
      </c>
      <c r="B38" s="173"/>
      <c r="C38" s="173"/>
      <c r="D38" s="194">
        <f>SUM(E38:J38)</f>
        <v>132737.47345136068</v>
      </c>
      <c r="E38" s="195">
        <f>'[2]T4.1 - OperMaint'!$D$17/1000</f>
        <v>3338.1230956561526</v>
      </c>
      <c r="F38" s="195">
        <f>'[2]T4.1 - OperMaint'!$E$17/1000</f>
        <v>108435.56239276817</v>
      </c>
      <c r="G38" s="195">
        <f>'[2]T4.1 - OperMaint'!$F$17/1000</f>
        <v>18653.483372581512</v>
      </c>
      <c r="H38" s="195">
        <f>'[2]T4.1 - OperMaint'!$G$17/1000</f>
        <v>791.08340744031898</v>
      </c>
      <c r="I38" s="195">
        <f>'[2]T4.1 - OperMaint'!$H$17/1000</f>
        <v>1117.8722943054693</v>
      </c>
      <c r="J38" s="195">
        <f>'[2]T4.1 - OperMaint'!$I$17/1000</f>
        <v>401.34888860906045</v>
      </c>
      <c r="K38" s="100"/>
      <c r="L38" s="171"/>
    </row>
    <row r="39" spans="1:20" ht="15">
      <c r="A39" s="196" t="s">
        <v>288</v>
      </c>
      <c r="B39" s="169"/>
      <c r="C39" s="169"/>
      <c r="D39" s="194">
        <f>SUM(D37:D38)</f>
        <v>186560.47909557953</v>
      </c>
      <c r="E39" s="99"/>
      <c r="F39" s="99"/>
      <c r="G39" s="99"/>
      <c r="H39" s="99"/>
      <c r="I39" s="99"/>
      <c r="J39" s="99"/>
      <c r="K39" s="100"/>
      <c r="L39" s="171"/>
    </row>
    <row r="40" spans="1:20">
      <c r="A40" s="197" t="s">
        <v>242</v>
      </c>
      <c r="B40" s="173"/>
      <c r="C40" s="173"/>
      <c r="D40" s="99"/>
      <c r="E40" s="99"/>
      <c r="F40" s="99"/>
      <c r="G40" s="99"/>
      <c r="H40" s="99"/>
      <c r="I40" s="99"/>
      <c r="J40" s="99"/>
      <c r="K40" s="100"/>
      <c r="L40" s="120"/>
    </row>
    <row r="41" spans="1:20">
      <c r="A41" s="186" t="s">
        <v>243</v>
      </c>
      <c r="B41" s="173"/>
      <c r="C41" s="173"/>
      <c r="D41" s="198">
        <v>25631.824999999997</v>
      </c>
      <c r="E41" s="99"/>
      <c r="F41" s="198">
        <v>1100</v>
      </c>
      <c r="G41" s="99"/>
      <c r="H41" s="99"/>
      <c r="I41" s="99"/>
      <c r="J41" s="99"/>
      <c r="K41" s="199">
        <v>58549.478999999992</v>
      </c>
      <c r="L41" s="171"/>
      <c r="M41" s="144" t="s">
        <v>498</v>
      </c>
      <c r="N41" s="111"/>
      <c r="O41" s="111"/>
      <c r="P41" s="111"/>
      <c r="Q41" s="111"/>
      <c r="R41" s="111"/>
      <c r="S41" s="111"/>
      <c r="T41" s="111"/>
    </row>
    <row r="42" spans="1:20">
      <c r="A42" s="186" t="s">
        <v>244</v>
      </c>
      <c r="B42" s="173"/>
      <c r="C42" s="173"/>
      <c r="D42" s="198">
        <v>176580.17499999999</v>
      </c>
      <c r="E42" s="99"/>
      <c r="F42" s="99"/>
      <c r="G42" s="99"/>
      <c r="H42" s="99"/>
      <c r="I42" s="99"/>
      <c r="J42" s="99"/>
      <c r="K42" s="100"/>
      <c r="L42" s="171"/>
      <c r="M42" s="111"/>
      <c r="N42" s="111"/>
      <c r="O42" s="111"/>
      <c r="P42" s="111"/>
      <c r="Q42" s="111"/>
      <c r="R42" s="111"/>
      <c r="S42" s="111"/>
      <c r="T42" s="111"/>
    </row>
    <row r="43" spans="1:20" ht="5.25" customHeight="1">
      <c r="A43" s="186"/>
      <c r="B43" s="173"/>
      <c r="C43" s="173"/>
      <c r="D43" s="102"/>
      <c r="E43" s="99"/>
      <c r="F43" s="99"/>
      <c r="G43" s="99"/>
      <c r="H43" s="99"/>
      <c r="I43" s="99"/>
      <c r="J43" s="99"/>
      <c r="K43" s="100"/>
      <c r="L43" s="120"/>
    </row>
    <row r="44" spans="1:20">
      <c r="A44" s="200" t="s">
        <v>256</v>
      </c>
      <c r="B44" s="173"/>
      <c r="C44" s="173"/>
      <c r="D44" s="183">
        <f>SUM(D41:D42)</f>
        <v>202212</v>
      </c>
      <c r="E44" s="99"/>
      <c r="F44" s="99"/>
      <c r="G44" s="99"/>
      <c r="H44" s="99"/>
      <c r="I44" s="99"/>
      <c r="J44" s="99"/>
      <c r="K44" s="100"/>
      <c r="L44" s="171"/>
    </row>
    <row r="45" spans="1:20">
      <c r="A45" s="201" t="s">
        <v>257</v>
      </c>
      <c r="B45" s="173"/>
      <c r="C45" s="173"/>
      <c r="D45" s="183">
        <f>D44-D46</f>
        <v>58338.495216625277</v>
      </c>
      <c r="E45" s="170">
        <f>(E37/D37)*D45</f>
        <v>670.21733565945408</v>
      </c>
      <c r="F45" s="183">
        <f>(F37/D37)*D45</f>
        <v>52929.580891421821</v>
      </c>
      <c r="G45" s="183">
        <f>(G37/D37)*D45</f>
        <v>2440.9231970908977</v>
      </c>
      <c r="H45" s="183">
        <f>(H37/D37)*D45</f>
        <v>2283.4220511198287</v>
      </c>
      <c r="I45" s="183">
        <f>(I37/D37)*D45</f>
        <v>14.351741333288905</v>
      </c>
      <c r="J45" s="183">
        <f>(J37/D37)*D45</f>
        <v>0</v>
      </c>
      <c r="K45" s="100"/>
      <c r="L45" s="171"/>
    </row>
    <row r="46" spans="1:20">
      <c r="A46" s="201" t="s">
        <v>259</v>
      </c>
      <c r="B46" s="173"/>
      <c r="C46" s="173"/>
      <c r="D46" s="170">
        <f>((D38/D39)*D44)</f>
        <v>143873.50478337472</v>
      </c>
      <c r="E46" s="202">
        <f>(E38/D38)*D46</f>
        <v>3618.1754608005604</v>
      </c>
      <c r="F46" s="183">
        <f>(F38/D38)*D46</f>
        <v>117532.78105237233</v>
      </c>
      <c r="G46" s="183">
        <f>(G38/D38)*D46</f>
        <v>20218.420310788249</v>
      </c>
      <c r="H46" s="183">
        <f>(H38/D38)*D46</f>
        <v>857.45147504347335</v>
      </c>
      <c r="I46" s="183">
        <f>(I38/D38)*D46</f>
        <v>1211.6563672646228</v>
      </c>
      <c r="J46" s="183">
        <f>(J38/D38)*D46</f>
        <v>435.02011710548993</v>
      </c>
      <c r="K46" s="100"/>
      <c r="L46" s="171"/>
    </row>
    <row r="47" spans="1:20" ht="15">
      <c r="A47" s="203" t="s">
        <v>258</v>
      </c>
      <c r="B47" s="169"/>
      <c r="C47" s="169"/>
      <c r="D47" s="183">
        <f>SUM(E47:J47)</f>
        <v>202212.00000000003</v>
      </c>
      <c r="E47" s="183">
        <f t="shared" ref="E47:J47" si="3">SUM(E45:E46)</f>
        <v>4288.3927964600143</v>
      </c>
      <c r="F47" s="183">
        <f t="shared" si="3"/>
        <v>170462.36194379415</v>
      </c>
      <c r="G47" s="183">
        <f t="shared" si="3"/>
        <v>22659.343507879148</v>
      </c>
      <c r="H47" s="183">
        <f t="shared" si="3"/>
        <v>3140.8735261633019</v>
      </c>
      <c r="I47" s="183">
        <f t="shared" si="3"/>
        <v>1226.0081085979116</v>
      </c>
      <c r="J47" s="183">
        <f t="shared" si="3"/>
        <v>435.02011710548993</v>
      </c>
      <c r="K47" s="100"/>
      <c r="L47" s="171"/>
    </row>
    <row r="48" spans="1:20">
      <c r="A48" s="204" t="s">
        <v>25</v>
      </c>
      <c r="B48" s="173"/>
      <c r="C48" s="173"/>
      <c r="D48" s="205">
        <f>K48</f>
        <v>11329.901</v>
      </c>
      <c r="E48" s="122"/>
      <c r="F48" s="122"/>
      <c r="G48" s="122"/>
      <c r="H48" s="122"/>
      <c r="I48" s="122"/>
      <c r="J48" s="122"/>
      <c r="K48" s="206">
        <v>11329.901</v>
      </c>
      <c r="L48" s="171"/>
    </row>
    <row r="49" spans="1:17" ht="15">
      <c r="A49" s="207" t="s">
        <v>260</v>
      </c>
      <c r="B49" s="169"/>
      <c r="C49" s="169"/>
      <c r="D49" s="181">
        <f>SUM(E49:K49)</f>
        <v>273191.38</v>
      </c>
      <c r="E49" s="181">
        <f>E47</f>
        <v>4288.3927964600143</v>
      </c>
      <c r="F49" s="181">
        <f>F47+F41</f>
        <v>171562.36194379415</v>
      </c>
      <c r="G49" s="181">
        <f>G47</f>
        <v>22659.343507879148</v>
      </c>
      <c r="H49" s="181">
        <f>H47</f>
        <v>3140.8735261633019</v>
      </c>
      <c r="I49" s="181">
        <f>I47</f>
        <v>1226.0081085979116</v>
      </c>
      <c r="J49" s="181">
        <f>J47</f>
        <v>435.02011710548993</v>
      </c>
      <c r="K49" s="182">
        <f>K48+K41</f>
        <v>69879.37999999999</v>
      </c>
      <c r="L49" s="171"/>
    </row>
    <row r="50" spans="1:17">
      <c r="A50" s="197" t="s">
        <v>261</v>
      </c>
      <c r="B50" s="173"/>
      <c r="C50" s="173"/>
      <c r="D50" s="108"/>
      <c r="E50" s="99"/>
      <c r="F50" s="99"/>
      <c r="G50" s="99"/>
      <c r="H50" s="99"/>
      <c r="I50" s="99"/>
      <c r="J50" s="99"/>
      <c r="K50" s="100"/>
      <c r="L50" s="120"/>
    </row>
    <row r="51" spans="1:17">
      <c r="A51" s="208" t="s">
        <v>47</v>
      </c>
      <c r="B51" s="173"/>
      <c r="C51" s="173"/>
      <c r="D51" s="198">
        <v>15825.591</v>
      </c>
      <c r="E51" s="170">
        <f>(E49/D49)*D51</f>
        <v>248.4205411024405</v>
      </c>
      <c r="F51" s="170">
        <f>(F49/D49)*D51</f>
        <v>9938.3654459245809</v>
      </c>
      <c r="G51" s="170">
        <f>(G49/D49)*D51</f>
        <v>1312.6237829473268</v>
      </c>
      <c r="H51" s="170">
        <f>(H49/D49)*D51</f>
        <v>181.94636963943819</v>
      </c>
      <c r="I51" s="170">
        <f>(I49/D49)*D51</f>
        <v>71.020919069094106</v>
      </c>
      <c r="J51" s="170">
        <f>(J49/D49)*D51</f>
        <v>25.200101299256175</v>
      </c>
      <c r="K51" s="179">
        <f>(K49/D49)*D51</f>
        <v>4048.0138400178653</v>
      </c>
      <c r="L51" s="171"/>
    </row>
    <row r="52" spans="1:17">
      <c r="A52" s="208" t="s">
        <v>48</v>
      </c>
      <c r="B52" s="173"/>
      <c r="C52" s="173"/>
      <c r="D52" s="198">
        <v>54613.204999999987</v>
      </c>
      <c r="E52" s="170">
        <f>(E49/D49)*D52</f>
        <v>857.28500992086208</v>
      </c>
      <c r="F52" s="170">
        <f>(F49/D49)*D52</f>
        <v>34296.727968212712</v>
      </c>
      <c r="G52" s="170">
        <f>(G49/D49)*D52</f>
        <v>4529.789234789263</v>
      </c>
      <c r="H52" s="170">
        <f>(H49/D49)*D52</f>
        <v>627.88646465869181</v>
      </c>
      <c r="I52" s="170">
        <f>(I49/D49)*D52</f>
        <v>245.08910993648479</v>
      </c>
      <c r="J52" s="170">
        <f>(J49/D49)*D52</f>
        <v>86.964101263393161</v>
      </c>
      <c r="K52" s="179">
        <f>(K49/D49)*D52</f>
        <v>13969.463111218583</v>
      </c>
      <c r="L52" s="171"/>
    </row>
    <row r="53" spans="1:17">
      <c r="A53" s="208" t="s">
        <v>263</v>
      </c>
      <c r="B53" s="173"/>
      <c r="C53" s="173"/>
      <c r="D53" s="198">
        <v>56350.642999999996</v>
      </c>
      <c r="E53" s="198">
        <v>742.36196314418896</v>
      </c>
      <c r="F53" s="198">
        <v>31664.625460402931</v>
      </c>
      <c r="G53" s="198">
        <v>4233.3547559140834</v>
      </c>
      <c r="H53" s="198">
        <v>546.45879024864564</v>
      </c>
      <c r="I53" s="198">
        <v>184.35097997277242</v>
      </c>
      <c r="J53" s="198">
        <v>102.31108535164665</v>
      </c>
      <c r="K53" s="199">
        <v>18877.179964965733</v>
      </c>
      <c r="L53" s="171"/>
    </row>
    <row r="54" spans="1:17">
      <c r="A54" s="208" t="s">
        <v>281</v>
      </c>
      <c r="B54" s="173"/>
      <c r="C54" s="173"/>
      <c r="D54" s="209">
        <v>86392.051999999996</v>
      </c>
      <c r="E54" s="210">
        <f>(E49/D49)*D54</f>
        <v>1356.1300999621546</v>
      </c>
      <c r="F54" s="210">
        <f>(F49/D49)*D54</f>
        <v>54253.631627363517</v>
      </c>
      <c r="G54" s="210">
        <f>(G49/D49)*D54</f>
        <v>7165.6257332078258</v>
      </c>
      <c r="H54" s="210">
        <f>(H49/D49)*D54</f>
        <v>993.24696481171304</v>
      </c>
      <c r="I54" s="210">
        <f>(I49/D49)*D54</f>
        <v>387.70387363763973</v>
      </c>
      <c r="J54" s="210">
        <f>(J49/D49)*D54</f>
        <v>137.56759301125669</v>
      </c>
      <c r="K54" s="211">
        <f>(K49/D49)*D54</f>
        <v>22098.146108005891</v>
      </c>
      <c r="L54" s="171"/>
    </row>
    <row r="55" spans="1:17" ht="15">
      <c r="A55" s="212" t="s">
        <v>279</v>
      </c>
      <c r="B55" s="173"/>
      <c r="C55" s="173"/>
      <c r="D55" s="181">
        <f>SUM(D51:D54)</f>
        <v>213181.49099999998</v>
      </c>
      <c r="E55" s="181">
        <f t="shared" ref="E55:J55" si="4">SUM(E51:E54)</f>
        <v>3204.1976141296464</v>
      </c>
      <c r="F55" s="181">
        <f t="shared" si="4"/>
        <v>130153.35050190374</v>
      </c>
      <c r="G55" s="181">
        <f t="shared" si="4"/>
        <v>17241.393506858498</v>
      </c>
      <c r="H55" s="181">
        <f t="shared" si="4"/>
        <v>2349.5385893584889</v>
      </c>
      <c r="I55" s="181">
        <f t="shared" si="4"/>
        <v>888.16488261599102</v>
      </c>
      <c r="J55" s="181">
        <f t="shared" si="4"/>
        <v>352.04288092555271</v>
      </c>
      <c r="K55" s="182">
        <f>SUM(K51:K54)</f>
        <v>58992.803024208071</v>
      </c>
      <c r="L55" s="171"/>
    </row>
    <row r="56" spans="1:17" ht="15">
      <c r="A56" s="166" t="s">
        <v>252</v>
      </c>
      <c r="B56" s="173"/>
      <c r="C56" s="173"/>
      <c r="D56" s="181">
        <f t="shared" ref="D56:K56" si="5">D55+D49</f>
        <v>486372.87099999998</v>
      </c>
      <c r="E56" s="181">
        <f t="shared" si="5"/>
        <v>7492.5904105896607</v>
      </c>
      <c r="F56" s="181">
        <f t="shared" si="5"/>
        <v>301715.71244569786</v>
      </c>
      <c r="G56" s="181">
        <f t="shared" si="5"/>
        <v>39900.73701473765</v>
      </c>
      <c r="H56" s="181">
        <f t="shared" si="5"/>
        <v>5490.4121155217908</v>
      </c>
      <c r="I56" s="181">
        <f t="shared" si="5"/>
        <v>2114.1729912139026</v>
      </c>
      <c r="J56" s="181">
        <f t="shared" si="5"/>
        <v>787.06299803104264</v>
      </c>
      <c r="K56" s="182">
        <f t="shared" si="5"/>
        <v>128872.18302420806</v>
      </c>
      <c r="L56" s="171"/>
    </row>
    <row r="57" spans="1:17">
      <c r="A57" s="213" t="s">
        <v>178</v>
      </c>
      <c r="B57" s="173"/>
      <c r="C57" s="173"/>
      <c r="D57" s="99"/>
      <c r="E57" s="99"/>
      <c r="F57" s="99"/>
      <c r="G57" s="99"/>
      <c r="H57" s="99"/>
      <c r="I57" s="99"/>
      <c r="J57" s="99"/>
      <c r="K57" s="100"/>
      <c r="L57" s="120"/>
    </row>
    <row r="58" spans="1:17">
      <c r="A58" s="186" t="s">
        <v>268</v>
      </c>
      <c r="B58" s="173"/>
      <c r="C58" s="173"/>
      <c r="D58" s="102"/>
      <c r="E58" s="99"/>
      <c r="F58" s="99"/>
      <c r="G58" s="99"/>
      <c r="H58" s="99"/>
      <c r="I58" s="99"/>
      <c r="J58" s="99"/>
      <c r="K58" s="100"/>
      <c r="L58" s="120"/>
    </row>
    <row r="59" spans="1:17" ht="15">
      <c r="A59" s="186" t="s">
        <v>266</v>
      </c>
      <c r="B59" s="173"/>
      <c r="C59" s="173"/>
      <c r="D59" s="198">
        <v>8867</v>
      </c>
      <c r="E59" s="102"/>
      <c r="F59" s="214">
        <f>$D$59*'[3]Corps Rec Transmission'!$O$3</f>
        <v>8576.8754665339638</v>
      </c>
      <c r="G59" s="102"/>
      <c r="H59" s="102"/>
      <c r="I59" s="214">
        <f>$D$59*'[3]Corps Rec Transmission'!$O$4</f>
        <v>290.12453346603633</v>
      </c>
      <c r="J59" s="215"/>
      <c r="K59" s="100"/>
      <c r="L59" s="171"/>
      <c r="M59" s="92"/>
    </row>
    <row r="60" spans="1:17">
      <c r="A60" s="186" t="s">
        <v>267</v>
      </c>
      <c r="B60" s="173"/>
      <c r="C60" s="173"/>
      <c r="D60" s="198">
        <v>589.23199999999997</v>
      </c>
      <c r="E60" s="102"/>
      <c r="F60" s="133"/>
      <c r="G60" s="183">
        <f>D60</f>
        <v>589.23199999999997</v>
      </c>
      <c r="H60" s="99"/>
      <c r="I60" s="99"/>
      <c r="J60" s="99"/>
      <c r="K60" s="100"/>
      <c r="L60" s="171"/>
    </row>
    <row r="61" spans="1:17">
      <c r="A61" s="186" t="s">
        <v>265</v>
      </c>
      <c r="B61" s="173"/>
      <c r="C61" s="173"/>
      <c r="D61" s="198">
        <v>225</v>
      </c>
      <c r="E61" s="102"/>
      <c r="F61" s="183">
        <f>D61</f>
        <v>225</v>
      </c>
      <c r="G61" s="133"/>
      <c r="H61" s="99"/>
      <c r="I61" s="99"/>
      <c r="J61" s="99"/>
      <c r="K61" s="100"/>
      <c r="L61" s="171"/>
    </row>
    <row r="62" spans="1:17" ht="15">
      <c r="A62" s="186" t="s">
        <v>451</v>
      </c>
      <c r="B62" s="173"/>
      <c r="C62" s="173"/>
      <c r="D62" s="198">
        <v>1272.635</v>
      </c>
      <c r="E62" s="102"/>
      <c r="F62" s="216">
        <f>$D$62*'[4]BP-20-E-BPA-05A Table X.3'!$G$7</f>
        <v>682.99541258382635</v>
      </c>
      <c r="G62" s="216">
        <f>$D$62*'[4]BP-20-E-BPA-05A Table X.3'!$G$6</f>
        <v>589.63958741617353</v>
      </c>
      <c r="H62" s="99"/>
      <c r="I62" s="99"/>
      <c r="J62" s="99"/>
      <c r="K62" s="100"/>
      <c r="L62" s="171"/>
      <c r="M62" s="92"/>
      <c r="N62" s="92"/>
      <c r="O62" s="92"/>
      <c r="P62" s="92"/>
      <c r="Q62" s="92"/>
    </row>
    <row r="63" spans="1:17">
      <c r="A63" s="186" t="s">
        <v>264</v>
      </c>
      <c r="B63" s="173"/>
      <c r="C63" s="173"/>
      <c r="D63" s="198">
        <v>1996.009</v>
      </c>
      <c r="E63" s="170">
        <f>(E38/D38)*D63</f>
        <v>50.196252563742313</v>
      </c>
      <c r="F63" s="170">
        <f>(F38/D38)*D63</f>
        <v>1630.5746435300114</v>
      </c>
      <c r="G63" s="170">
        <f>(G38/D38)*D63</f>
        <v>280.49743395685658</v>
      </c>
      <c r="H63" s="170">
        <f>(H38/D38)*D63</f>
        <v>11.895733434915378</v>
      </c>
      <c r="I63" s="170">
        <f>(I38/D38)*D63</f>
        <v>16.809745599851119</v>
      </c>
      <c r="J63" s="170">
        <f>(J38/D38)*D63</f>
        <v>6.0351909146231391</v>
      </c>
      <c r="K63" s="100"/>
      <c r="L63" s="171"/>
    </row>
    <row r="64" spans="1:17" ht="15">
      <c r="A64" s="186" t="s">
        <v>253</v>
      </c>
      <c r="B64" s="169"/>
      <c r="C64" s="173"/>
      <c r="D64" s="217">
        <f>K64</f>
        <v>95479.665827999997</v>
      </c>
      <c r="E64" s="123"/>
      <c r="F64" s="122"/>
      <c r="G64" s="122"/>
      <c r="H64" s="122"/>
      <c r="I64" s="122"/>
      <c r="J64" s="122"/>
      <c r="K64" s="206">
        <v>95479.665827999997</v>
      </c>
      <c r="L64" s="171"/>
    </row>
    <row r="65" spans="1:12" ht="15">
      <c r="A65" s="180" t="s">
        <v>277</v>
      </c>
      <c r="B65" s="173"/>
      <c r="C65" s="173"/>
      <c r="D65" s="218">
        <f>SUM(D59:D64)</f>
        <v>108429.541828</v>
      </c>
      <c r="E65" s="218">
        <f t="shared" ref="E65:K65" si="6">SUM(E59:E64)</f>
        <v>50.196252563742313</v>
      </c>
      <c r="F65" s="218">
        <f t="shared" si="6"/>
        <v>11115.445522647802</v>
      </c>
      <c r="G65" s="218">
        <f t="shared" si="6"/>
        <v>1459.3690213730301</v>
      </c>
      <c r="H65" s="218">
        <f t="shared" si="6"/>
        <v>11.895733434915378</v>
      </c>
      <c r="I65" s="218">
        <f t="shared" si="6"/>
        <v>306.93427906588744</v>
      </c>
      <c r="J65" s="218">
        <f t="shared" si="6"/>
        <v>6.0351909146231391</v>
      </c>
      <c r="K65" s="219">
        <f t="shared" si="6"/>
        <v>95479.665827999997</v>
      </c>
      <c r="L65" s="171"/>
    </row>
    <row r="66" spans="1:12">
      <c r="A66" s="186" t="s">
        <v>269</v>
      </c>
      <c r="B66" s="173"/>
      <c r="C66" s="173"/>
      <c r="D66" s="99"/>
      <c r="E66" s="102"/>
      <c r="F66" s="99"/>
      <c r="G66" s="99"/>
      <c r="H66" s="99"/>
      <c r="I66" s="99"/>
      <c r="J66" s="99"/>
      <c r="K66" s="100"/>
      <c r="L66" s="120"/>
    </row>
    <row r="67" spans="1:12">
      <c r="A67" s="186" t="s">
        <v>43</v>
      </c>
      <c r="B67" s="173"/>
      <c r="C67" s="173"/>
      <c r="D67" s="170">
        <f>SUM(E67:K67)</f>
        <v>96.72</v>
      </c>
      <c r="E67" s="198">
        <v>1.6745885537912228</v>
      </c>
      <c r="F67" s="198">
        <v>78.478404697686102</v>
      </c>
      <c r="G67" s="198">
        <v>12.126542458272004</v>
      </c>
      <c r="H67" s="198">
        <v>1.485059714065095</v>
      </c>
      <c r="I67" s="198">
        <v>0.19539073597455744</v>
      </c>
      <c r="J67" s="198">
        <v>0.11183334650798096</v>
      </c>
      <c r="K67" s="199">
        <v>2.6481804937030349</v>
      </c>
      <c r="L67" s="171"/>
    </row>
    <row r="68" spans="1:12">
      <c r="A68" s="186" t="s">
        <v>44</v>
      </c>
      <c r="B68" s="173"/>
      <c r="C68" s="173"/>
      <c r="D68" s="198">
        <v>5746.0609999999997</v>
      </c>
      <c r="E68" s="102"/>
      <c r="F68" s="183">
        <f>D68</f>
        <v>5746.0609999999997</v>
      </c>
      <c r="G68" s="108"/>
      <c r="H68" s="108"/>
      <c r="I68" s="108"/>
      <c r="J68" s="108"/>
      <c r="K68" s="109"/>
      <c r="L68" s="171"/>
    </row>
    <row r="69" spans="1:12">
      <c r="A69" s="186" t="s">
        <v>45</v>
      </c>
      <c r="B69" s="173"/>
      <c r="C69" s="173"/>
      <c r="D69" s="198">
        <v>0</v>
      </c>
      <c r="E69" s="202">
        <f>(E49/D49)*D69</f>
        <v>0</v>
      </c>
      <c r="F69" s="170">
        <f>(F49/D49)*D69</f>
        <v>0</v>
      </c>
      <c r="G69" s="170">
        <f>(G49/D49)*D69</f>
        <v>0</v>
      </c>
      <c r="H69" s="170">
        <f>(H49/D49)*D69</f>
        <v>0</v>
      </c>
      <c r="I69" s="170">
        <f>(I49/D49)*D69</f>
        <v>0</v>
      </c>
      <c r="J69" s="170">
        <f>(J49/D49)*D69</f>
        <v>0</v>
      </c>
      <c r="K69" s="179">
        <f>(K49/D49)*D69</f>
        <v>0</v>
      </c>
      <c r="L69" s="171"/>
    </row>
    <row r="70" spans="1:12">
      <c r="A70" s="186" t="s">
        <v>46</v>
      </c>
      <c r="B70" s="173"/>
      <c r="C70" s="173"/>
      <c r="D70" s="209">
        <v>5187.7929999999997</v>
      </c>
      <c r="E70" s="123"/>
      <c r="F70" s="123"/>
      <c r="G70" s="123"/>
      <c r="H70" s="123"/>
      <c r="I70" s="123"/>
      <c r="J70" s="123"/>
      <c r="K70" s="211">
        <f>D70</f>
        <v>5187.7929999999997</v>
      </c>
      <c r="L70" s="171"/>
    </row>
    <row r="71" spans="1:12" ht="15">
      <c r="A71" s="180" t="s">
        <v>278</v>
      </c>
      <c r="B71" s="173"/>
      <c r="C71" s="173"/>
      <c r="D71" s="218">
        <f>SUM(D67:D70)</f>
        <v>11030.574000000001</v>
      </c>
      <c r="E71" s="218">
        <f t="shared" ref="E71:J71" si="7">SUM(E67:E70)</f>
        <v>1.6745885537912228</v>
      </c>
      <c r="F71" s="218">
        <f t="shared" si="7"/>
        <v>5824.5394046976862</v>
      </c>
      <c r="G71" s="218">
        <f t="shared" si="7"/>
        <v>12.126542458272004</v>
      </c>
      <c r="H71" s="218">
        <f t="shared" si="7"/>
        <v>1.485059714065095</v>
      </c>
      <c r="I71" s="218">
        <f t="shared" si="7"/>
        <v>0.19539073597455744</v>
      </c>
      <c r="J71" s="218">
        <f t="shared" si="7"/>
        <v>0.11183334650798096</v>
      </c>
      <c r="K71" s="219">
        <f>SUM(K67:K70)</f>
        <v>5190.4411804937026</v>
      </c>
      <c r="L71" s="171"/>
    </row>
    <row r="72" spans="1:12" ht="15.75" customHeight="1" thickBot="1">
      <c r="A72" s="220" t="s">
        <v>270</v>
      </c>
      <c r="B72" s="220"/>
      <c r="C72" s="220"/>
      <c r="D72" s="221">
        <f>SUM(E72:K72)</f>
        <v>119460.11582799999</v>
      </c>
      <c r="E72" s="221">
        <f>E71+E65</f>
        <v>51.870841117533537</v>
      </c>
      <c r="F72" s="221">
        <f t="shared" ref="F72:K72" si="8">F71+F65</f>
        <v>16939.984927345489</v>
      </c>
      <c r="G72" s="221">
        <f t="shared" si="8"/>
        <v>1471.4955638313022</v>
      </c>
      <c r="H72" s="221">
        <f t="shared" si="8"/>
        <v>13.380793148980473</v>
      </c>
      <c r="I72" s="221">
        <f t="shared" si="8"/>
        <v>307.12966980186201</v>
      </c>
      <c r="J72" s="221">
        <f t="shared" si="8"/>
        <v>6.1470242611311203</v>
      </c>
      <c r="K72" s="222">
        <f t="shared" si="8"/>
        <v>100670.10700849369</v>
      </c>
      <c r="L72" s="171"/>
    </row>
    <row r="75" spans="1:12">
      <c r="A75" s="92"/>
      <c r="B75" s="92"/>
      <c r="C75" s="92"/>
      <c r="D75" s="92"/>
      <c r="E75" s="92"/>
    </row>
    <row r="76" spans="1:12">
      <c r="A76" s="92"/>
      <c r="B76" s="92"/>
      <c r="C76" s="92"/>
      <c r="D76" s="92"/>
      <c r="E76" s="92"/>
    </row>
    <row r="77" spans="1:12">
      <c r="A77" s="92"/>
      <c r="B77" s="92"/>
      <c r="C77" s="92"/>
      <c r="D77" s="92"/>
      <c r="E77" s="92"/>
    </row>
    <row r="78" spans="1:12">
      <c r="A78" s="92"/>
      <c r="B78" s="92"/>
      <c r="C78" s="92"/>
      <c r="D78" s="92"/>
      <c r="E78" s="92"/>
    </row>
    <row r="79" spans="1:12">
      <c r="A79" s="92"/>
      <c r="B79" s="92"/>
      <c r="C79" s="92"/>
      <c r="D79" s="92"/>
    </row>
    <row r="80" spans="1:12">
      <c r="A80" s="92"/>
      <c r="B80" s="92"/>
      <c r="C80" s="92"/>
      <c r="D80" s="92"/>
    </row>
  </sheetData>
  <mergeCells count="4">
    <mergeCell ref="A1:K1"/>
    <mergeCell ref="F9:I9"/>
    <mergeCell ref="A10:B10"/>
    <mergeCell ref="A12:C12"/>
  </mergeCells>
  <hyperlinks>
    <hyperlink ref="G4" r:id="rId1"/>
    <hyperlink ref="I5" location="'Revenue Requirement'!A1" display="Revenue Requirement"/>
    <hyperlink ref="I4" location="AFUDC!A1" display="AFUDC"/>
    <hyperlink ref="I3" location="'Repayment Inputs'!A1" display="Repayment Inputs"/>
    <hyperlink ref="G5" r:id="rId2"/>
    <hyperlink ref="I6" location="'Expense Input File'!A1" display="Expense Input"/>
    <hyperlink ref="G6" r:id="rId3"/>
    <hyperlink ref="G7" r:id="rId4"/>
  </hyperlinks>
  <pageMargins left="0.25" right="0.25" top="0.75" bottom="0.75" header="0.3" footer="0.3"/>
  <pageSetup scale="46" orientation="portrait" r:id="rId5"/>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00"/>
    <pageSetUpPr autoPageBreaks="0" fitToPage="1"/>
  </sheetPr>
  <dimension ref="A1:T80"/>
  <sheetViews>
    <sheetView topLeftCell="B11" zoomScaleNormal="100" workbookViewId="0">
      <pane ySplit="2" topLeftCell="A43" activePane="bottomLeft" state="frozen"/>
      <selection activeCell="F57" sqref="F57"/>
      <selection pane="bottomLeft" activeCell="F57" sqref="F57"/>
    </sheetView>
  </sheetViews>
  <sheetFormatPr defaultColWidth="9.140625" defaultRowHeight="14.25" outlineLevelRow="1"/>
  <cols>
    <col min="1" max="1" width="31.42578125" style="93" bestFit="1" customWidth="1"/>
    <col min="2" max="2" width="9.140625" style="93"/>
    <col min="3" max="3" width="29.28515625" style="93" customWidth="1"/>
    <col min="4" max="4" width="24.42578125" style="93" customWidth="1"/>
    <col min="5" max="11" width="15.7109375" style="93" customWidth="1"/>
    <col min="12" max="12" width="25.140625" style="93" bestFit="1" customWidth="1"/>
    <col min="13" max="13" width="11.5703125" style="93" bestFit="1" customWidth="1"/>
    <col min="14" max="14" width="9.140625" style="93"/>
    <col min="15" max="15" width="9.5703125" style="93" bestFit="1" customWidth="1"/>
    <col min="16" max="19" width="9.140625" style="93"/>
    <col min="20" max="20" width="10.5703125" style="93" bestFit="1" customWidth="1"/>
    <col min="21" max="16384" width="9.140625" style="93"/>
  </cols>
  <sheetData>
    <row r="1" spans="1:12" ht="18">
      <c r="A1" s="418" t="s">
        <v>283</v>
      </c>
      <c r="B1" s="419"/>
      <c r="C1" s="419"/>
      <c r="D1" s="419"/>
      <c r="E1" s="419"/>
      <c r="F1" s="419"/>
      <c r="G1" s="419"/>
      <c r="H1" s="419"/>
      <c r="I1" s="419"/>
      <c r="J1" s="419"/>
      <c r="K1" s="420"/>
    </row>
    <row r="2" spans="1:12" ht="18" hidden="1" outlineLevel="1">
      <c r="A2" s="121"/>
      <c r="B2" s="127" t="s">
        <v>522</v>
      </c>
      <c r="C2" s="94"/>
      <c r="D2" s="119"/>
      <c r="E2" s="98"/>
      <c r="F2" s="148" t="s">
        <v>377</v>
      </c>
      <c r="G2" s="149"/>
      <c r="H2" s="139"/>
      <c r="I2" s="148" t="s">
        <v>380</v>
      </c>
      <c r="J2" s="140"/>
      <c r="K2" s="150"/>
    </row>
    <row r="3" spans="1:12" ht="18" hidden="1" outlineLevel="1">
      <c r="A3" s="121"/>
      <c r="B3" s="127" t="s">
        <v>74</v>
      </c>
      <c r="C3" s="95"/>
      <c r="D3" s="119"/>
      <c r="E3" s="98"/>
      <c r="F3" s="151" t="s">
        <v>378</v>
      </c>
      <c r="G3" s="152" t="s">
        <v>237</v>
      </c>
      <c r="H3" s="139"/>
      <c r="I3" s="153" t="s">
        <v>241</v>
      </c>
      <c r="J3" s="139"/>
      <c r="K3" s="150"/>
    </row>
    <row r="4" spans="1:12" ht="18" hidden="1" customHeight="1" outlineLevel="1">
      <c r="A4" s="121"/>
      <c r="B4" s="127" t="s">
        <v>10</v>
      </c>
      <c r="C4" s="154"/>
      <c r="D4" s="119"/>
      <c r="E4" s="98"/>
      <c r="F4" s="145"/>
      <c r="G4" s="155" t="s">
        <v>367</v>
      </c>
      <c r="H4" s="139"/>
      <c r="I4" s="156" t="s">
        <v>88</v>
      </c>
      <c r="J4" s="119"/>
      <c r="K4" s="150"/>
    </row>
    <row r="5" spans="1:12" ht="18" hidden="1" customHeight="1" outlineLevel="1">
      <c r="A5" s="121"/>
      <c r="B5" s="128" t="s">
        <v>9</v>
      </c>
      <c r="C5" s="154"/>
      <c r="D5" s="96"/>
      <c r="F5" s="145"/>
      <c r="G5" s="157" t="s">
        <v>369</v>
      </c>
      <c r="H5" s="139"/>
      <c r="I5" s="142" t="s">
        <v>368</v>
      </c>
      <c r="J5" s="96"/>
      <c r="K5" s="150"/>
    </row>
    <row r="6" spans="1:12" ht="15" hidden="1" outlineLevel="1">
      <c r="A6" s="121"/>
      <c r="B6" s="128" t="s">
        <v>364</v>
      </c>
      <c r="C6" s="95"/>
      <c r="D6" s="96"/>
      <c r="E6" s="158"/>
      <c r="F6" s="145"/>
      <c r="G6" s="159" t="s">
        <v>447</v>
      </c>
      <c r="H6" s="139"/>
      <c r="I6" s="160" t="s">
        <v>365</v>
      </c>
      <c r="J6" s="96"/>
      <c r="K6" s="150"/>
    </row>
    <row r="7" spans="1:12" ht="15" hidden="1" outlineLevel="1">
      <c r="A7" s="121"/>
      <c r="B7" s="128" t="s">
        <v>363</v>
      </c>
      <c r="C7" s="95"/>
      <c r="D7" s="96"/>
      <c r="E7" s="158"/>
      <c r="F7" s="146"/>
      <c r="G7" s="97" t="s">
        <v>450</v>
      </c>
      <c r="H7" s="139"/>
      <c r="I7" s="141"/>
      <c r="J7" s="96"/>
      <c r="K7" s="114"/>
    </row>
    <row r="8" spans="1:12" ht="15" hidden="1" outlineLevel="1">
      <c r="A8" s="121"/>
      <c r="B8" s="128" t="s">
        <v>271</v>
      </c>
      <c r="C8" s="161">
        <v>2020</v>
      </c>
      <c r="D8" s="96"/>
      <c r="E8" s="141"/>
      <c r="F8" s="158"/>
      <c r="G8" s="139"/>
      <c r="H8" s="141"/>
      <c r="I8" s="141"/>
      <c r="J8" s="96"/>
      <c r="K8" s="114"/>
    </row>
    <row r="9" spans="1:12" ht="15" hidden="1" outlineLevel="1">
      <c r="A9" s="121"/>
      <c r="B9" s="128"/>
      <c r="C9" s="131"/>
      <c r="D9" s="96"/>
      <c r="E9" s="421"/>
      <c r="F9" s="421"/>
      <c r="G9" s="421"/>
      <c r="H9" s="421"/>
      <c r="I9" s="421"/>
      <c r="J9" s="421"/>
      <c r="K9" s="114"/>
    </row>
    <row r="10" spans="1:12" ht="15" hidden="1" outlineLevel="1">
      <c r="A10" s="422"/>
      <c r="B10" s="423"/>
      <c r="C10" s="143"/>
      <c r="D10" s="116"/>
      <c r="E10" s="116"/>
      <c r="F10" s="116"/>
      <c r="G10" s="116"/>
      <c r="H10" s="116"/>
      <c r="I10" s="116"/>
      <c r="J10" s="116"/>
      <c r="K10" s="117"/>
    </row>
    <row r="11" spans="1:12" ht="15" collapsed="1" thickBot="1">
      <c r="A11" s="98"/>
      <c r="B11" s="98"/>
      <c r="C11" s="98"/>
      <c r="D11" s="98"/>
      <c r="E11" s="98"/>
      <c r="F11" s="98"/>
      <c r="G11" s="98"/>
      <c r="H11" s="98"/>
      <c r="I11" s="98"/>
      <c r="J11" s="98"/>
      <c r="K11" s="98"/>
    </row>
    <row r="12" spans="1:12" ht="29.25" customHeight="1">
      <c r="A12" s="424">
        <f>C8</f>
        <v>2020</v>
      </c>
      <c r="B12" s="425"/>
      <c r="C12" s="425"/>
      <c r="D12" s="162" t="s">
        <v>171</v>
      </c>
      <c r="E12" s="273" t="s">
        <v>172</v>
      </c>
      <c r="F12" s="273" t="s">
        <v>173</v>
      </c>
      <c r="G12" s="273" t="s">
        <v>174</v>
      </c>
      <c r="H12" s="273" t="s">
        <v>175</v>
      </c>
      <c r="I12" s="273" t="s">
        <v>176</v>
      </c>
      <c r="J12" s="273" t="s">
        <v>177</v>
      </c>
      <c r="K12" s="164" t="s">
        <v>178</v>
      </c>
      <c r="L12" s="115"/>
    </row>
    <row r="13" spans="1:12" ht="15">
      <c r="A13" s="166" t="s">
        <v>262</v>
      </c>
      <c r="B13" s="272"/>
      <c r="C13" s="272"/>
      <c r="D13" s="129"/>
      <c r="E13" s="276">
        <v>98494.796461981954</v>
      </c>
      <c r="F13" s="276">
        <v>4688539.9231773317</v>
      </c>
      <c r="G13" s="276">
        <v>727364.81275506062</v>
      </c>
      <c r="H13" s="276">
        <v>87284.570487335688</v>
      </c>
      <c r="I13" s="276">
        <v>11495.415647962285</v>
      </c>
      <c r="J13" s="276">
        <v>6579.6532853377457</v>
      </c>
      <c r="K13" s="277">
        <v>126861.01668584785</v>
      </c>
      <c r="L13" s="115"/>
    </row>
    <row r="14" spans="1:12" ht="15">
      <c r="A14" s="168" t="s">
        <v>179</v>
      </c>
      <c r="B14" s="169"/>
      <c r="C14" s="169"/>
      <c r="D14" s="170">
        <f>SUM(E14:K14)</f>
        <v>6498164.9647066593</v>
      </c>
      <c r="E14" s="107">
        <f>HLOOKUP(E$12,'[1]Seg Inv Base'!$A$12:$Z$999,MATCH($A$12,'[1]Seg Inv Base'!$B$13:$B$661,0)+11,0)</f>
        <v>111832.97555657024</v>
      </c>
      <c r="F14" s="107">
        <f>HLOOKUP(F$12,'[1]Seg Inv Base'!$A$12:$Z$999,MATCH($A$12,'[1]Seg Inv Base'!$B$13:$B$661,0)+11,0)</f>
        <v>5358929.1313738758</v>
      </c>
      <c r="G14" s="107">
        <f>HLOOKUP(G$12,'[1]Seg Inv Base'!$A$12:$Z$999,MATCH($A$12,'[1]Seg Inv Base'!$B$13:$B$661,0)+11,0)</f>
        <v>783818.20581348124</v>
      </c>
      <c r="H14" s="107">
        <f>HLOOKUP(H$12,'[1]Seg Inv Base'!$A$12:$Z$999,MATCH($A$12,'[1]Seg Inv Base'!$B$13:$B$661,0)+11,0)</f>
        <v>91302.080532457563</v>
      </c>
      <c r="I14" s="107">
        <f>HLOOKUP(I$12,'[1]Seg Inv Base'!$A$12:$Z$999,MATCH($A$12,'[1]Seg Inv Base'!$B$13:$B$661,0)+11,0)</f>
        <v>15472.342586654602</v>
      </c>
      <c r="J14" s="107">
        <f>HLOOKUP(J$12,'[1]Seg Inv Base'!$A$12:$Z$999,MATCH($A$12,'[1]Seg Inv Base'!$B$13:$B$661,0)+11,0)</f>
        <v>6666.2580090138226</v>
      </c>
      <c r="K14" s="106">
        <f>HLOOKUP(K$12,'[1]Seg Inv Base'!$A$12:$Z$999,MATCH($A$12,'[1]Seg Inv Base'!$B$13:$B$661,0)+11,0)</f>
        <v>130143.97083460679</v>
      </c>
    </row>
    <row r="15" spans="1:12">
      <c r="A15" s="172" t="s">
        <v>240</v>
      </c>
      <c r="B15" s="173"/>
      <c r="C15" s="173"/>
      <c r="D15" s="174">
        <f>SUM(E15:K15)</f>
        <v>1</v>
      </c>
      <c r="E15" s="175">
        <f>E14/D14</f>
        <v>1.7209931752112516E-2</v>
      </c>
      <c r="F15" s="175">
        <f>F14/D14</f>
        <v>0.82468345455674175</v>
      </c>
      <c r="G15" s="175">
        <f>G14/D14</f>
        <v>0.12062146930258248</v>
      </c>
      <c r="H15" s="175">
        <f>H14/D14</f>
        <v>1.4050440551808787E-2</v>
      </c>
      <c r="I15" s="175">
        <f>I14/D14</f>
        <v>2.3810325946923782E-3</v>
      </c>
      <c r="J15" s="175">
        <f>J14/D14</f>
        <v>1.0258677711661866E-3</v>
      </c>
      <c r="K15" s="176">
        <f>K14/D14</f>
        <v>2.0027803470895996E-2</v>
      </c>
    </row>
    <row r="16" spans="1:12">
      <c r="A16" s="177" t="s">
        <v>82</v>
      </c>
      <c r="B16" s="173"/>
      <c r="C16" s="173"/>
      <c r="D16" s="99"/>
      <c r="E16" s="99"/>
      <c r="F16" s="99"/>
      <c r="G16" s="99"/>
      <c r="H16" s="99"/>
      <c r="I16" s="99"/>
      <c r="J16" s="99"/>
      <c r="K16" s="100"/>
    </row>
    <row r="17" spans="1:11">
      <c r="A17" s="168"/>
      <c r="B17" s="173" t="s">
        <v>482</v>
      </c>
      <c r="C17" s="173"/>
      <c r="D17" s="170" t="e">
        <f>SUM(E17:K17)</f>
        <v>#N/A</v>
      </c>
      <c r="E17" s="102"/>
      <c r="F17" s="104" t="e">
        <f>HLOOKUP($A$12,'Repayment Inputs'!$B$5:$Z$27,19,FALSE)</f>
        <v>#N/A</v>
      </c>
      <c r="G17" s="104"/>
      <c r="H17" s="102"/>
      <c r="I17" s="102"/>
      <c r="J17" s="102"/>
      <c r="K17" s="101"/>
    </row>
    <row r="18" spans="1:11">
      <c r="A18" s="168"/>
      <c r="B18" s="173" t="s">
        <v>483</v>
      </c>
      <c r="C18" s="173"/>
      <c r="D18" s="170" t="e">
        <f>SUM(E18:K18)</f>
        <v>#N/A</v>
      </c>
      <c r="E18" s="102"/>
      <c r="F18" s="103" t="e">
        <f>-(HLOOKUP($A$12,AFUDC!$I$9:$AJ$34,25,FALSE))</f>
        <v>#N/A</v>
      </c>
      <c r="G18" s="102"/>
      <c r="H18" s="102"/>
      <c r="I18" s="102"/>
      <c r="J18" s="102"/>
      <c r="K18" s="101"/>
    </row>
    <row r="19" spans="1:11">
      <c r="A19" s="168"/>
      <c r="B19" s="173" t="s">
        <v>479</v>
      </c>
      <c r="C19" s="173"/>
      <c r="D19" s="170" t="e">
        <f>SUM(E19:K19)</f>
        <v>#N/A</v>
      </c>
      <c r="E19" s="102"/>
      <c r="F19" s="170" t="e">
        <f>SUM(F17:F18)</f>
        <v>#N/A</v>
      </c>
      <c r="G19" s="170"/>
      <c r="H19" s="102"/>
      <c r="I19" s="102"/>
      <c r="J19" s="102"/>
      <c r="K19" s="101"/>
    </row>
    <row r="20" spans="1:11">
      <c r="A20" s="178" t="s">
        <v>180</v>
      </c>
      <c r="B20" s="173"/>
      <c r="C20" s="173"/>
      <c r="D20" s="105" t="e">
        <f>HLOOKUP($A$12,'Revenue Requirement'!$A$6:$AB$40,25,FALSE)-$D$19</f>
        <v>#N/A</v>
      </c>
      <c r="E20" s="170" t="e">
        <f>D20*E15</f>
        <v>#N/A</v>
      </c>
      <c r="F20" s="170" t="e">
        <f>D20*F15</f>
        <v>#N/A</v>
      </c>
      <c r="G20" s="170" t="e">
        <f>D20*G15</f>
        <v>#N/A</v>
      </c>
      <c r="H20" s="170" t="e">
        <f>D20*H15</f>
        <v>#N/A</v>
      </c>
      <c r="I20" s="170" t="e">
        <f>D20*I15</f>
        <v>#N/A</v>
      </c>
      <c r="J20" s="170" t="e">
        <f>D20*J15</f>
        <v>#N/A</v>
      </c>
      <c r="K20" s="179" t="e">
        <f>D20*K15</f>
        <v>#N/A</v>
      </c>
    </row>
    <row r="21" spans="1:11" ht="15">
      <c r="A21" s="180" t="s">
        <v>181</v>
      </c>
      <c r="B21" s="169"/>
      <c r="C21" s="169"/>
      <c r="D21" s="181" t="e">
        <f>D20+D19</f>
        <v>#N/A</v>
      </c>
      <c r="E21" s="181" t="e">
        <f t="shared" ref="E21:K21" si="0">E20+E19</f>
        <v>#N/A</v>
      </c>
      <c r="F21" s="181" t="e">
        <f t="shared" si="0"/>
        <v>#N/A</v>
      </c>
      <c r="G21" s="181" t="e">
        <f>G20+G19</f>
        <v>#N/A</v>
      </c>
      <c r="H21" s="181" t="e">
        <f>H20+H19</f>
        <v>#N/A</v>
      </c>
      <c r="I21" s="181" t="e">
        <f t="shared" si="0"/>
        <v>#N/A</v>
      </c>
      <c r="J21" s="181" t="e">
        <f t="shared" si="0"/>
        <v>#N/A</v>
      </c>
      <c r="K21" s="182" t="e">
        <f t="shared" si="0"/>
        <v>#N/A</v>
      </c>
    </row>
    <row r="22" spans="1:11">
      <c r="A22" s="177" t="s">
        <v>185</v>
      </c>
      <c r="B22" s="173"/>
      <c r="C22" s="173"/>
      <c r="D22" s="99"/>
      <c r="E22" s="99"/>
      <c r="F22" s="99"/>
      <c r="G22" s="99"/>
      <c r="H22" s="99"/>
      <c r="I22" s="99"/>
      <c r="J22" s="99"/>
      <c r="K22" s="100"/>
    </row>
    <row r="23" spans="1:11">
      <c r="A23" s="168"/>
      <c r="B23" s="173" t="s">
        <v>478</v>
      </c>
      <c r="C23" s="173"/>
      <c r="D23" s="99"/>
      <c r="E23" s="99"/>
      <c r="F23" s="104" t="e">
        <f>HLOOKUP($A$12,'Repayment Inputs'!$A$5:$Z$46,38,FALSE)</f>
        <v>#N/A</v>
      </c>
      <c r="G23" s="104"/>
      <c r="H23" s="99"/>
      <c r="I23" s="99"/>
      <c r="J23" s="99"/>
      <c r="K23" s="100"/>
    </row>
    <row r="24" spans="1:11">
      <c r="A24" s="168"/>
      <c r="B24" s="173" t="s">
        <v>479</v>
      </c>
      <c r="C24" s="173"/>
      <c r="D24" s="99"/>
      <c r="E24" s="99"/>
      <c r="F24" s="183" t="e">
        <f>F19</f>
        <v>#N/A</v>
      </c>
      <c r="G24" s="183"/>
      <c r="H24" s="99"/>
      <c r="I24" s="99"/>
      <c r="J24" s="99"/>
      <c r="K24" s="100"/>
    </row>
    <row r="25" spans="1:11">
      <c r="A25" s="168"/>
      <c r="B25" s="173" t="s">
        <v>480</v>
      </c>
      <c r="C25" s="173"/>
      <c r="D25" s="99"/>
      <c r="E25" s="99"/>
      <c r="F25" s="184">
        <f>SUM(VLOOKUP($A$12,'[1]Customer Funded'!$B$19:$M$60,6,FALSE),VLOOKUP($A$12,'[1]Customer Funded'!$B$19:$M$60,7,FALSE))</f>
        <v>462.81493870392671</v>
      </c>
      <c r="G25" s="185"/>
      <c r="H25" s="99"/>
      <c r="I25" s="99"/>
      <c r="J25" s="99"/>
      <c r="K25" s="100"/>
    </row>
    <row r="26" spans="1:11">
      <c r="A26" s="168"/>
      <c r="B26" s="173" t="s">
        <v>481</v>
      </c>
      <c r="C26" s="173"/>
      <c r="D26" s="183" t="e">
        <f>F26</f>
        <v>#N/A</v>
      </c>
      <c r="E26" s="99"/>
      <c r="F26" s="183" t="e">
        <f>F23-F24-F25</f>
        <v>#N/A</v>
      </c>
      <c r="G26" s="183"/>
      <c r="H26" s="99"/>
      <c r="I26" s="99"/>
      <c r="J26" s="99"/>
      <c r="K26" s="100"/>
    </row>
    <row r="27" spans="1:11">
      <c r="A27" s="186" t="s">
        <v>463</v>
      </c>
      <c r="B27" s="173"/>
      <c r="C27" s="173"/>
      <c r="D27" s="110" t="e">
        <f>HLOOKUP($A$12,'Revenue Requirement'!$A$6:$AB$36,31,FALSE)-$D$26</f>
        <v>#N/A</v>
      </c>
      <c r="E27" s="170" t="e">
        <f>D27*E15</f>
        <v>#N/A</v>
      </c>
      <c r="F27" s="170" t="e">
        <f>D27*F15</f>
        <v>#N/A</v>
      </c>
      <c r="G27" s="170" t="e">
        <f>D27*G15</f>
        <v>#N/A</v>
      </c>
      <c r="H27" s="170" t="e">
        <f>D27*H15</f>
        <v>#N/A</v>
      </c>
      <c r="I27" s="170" t="e">
        <f>D27*I15</f>
        <v>#N/A</v>
      </c>
      <c r="J27" s="170" t="e">
        <f>D27*J15</f>
        <v>#N/A</v>
      </c>
      <c r="K27" s="179" t="e">
        <f>D27*K15</f>
        <v>#N/A</v>
      </c>
    </row>
    <row r="28" spans="1:11" ht="15">
      <c r="A28" s="180" t="s">
        <v>186</v>
      </c>
      <c r="B28" s="173"/>
      <c r="C28" s="173"/>
      <c r="D28" s="181" t="e">
        <f>D27+D26</f>
        <v>#N/A</v>
      </c>
      <c r="E28" s="181" t="e">
        <f t="shared" ref="E28:K28" si="1">E27+E26</f>
        <v>#N/A</v>
      </c>
      <c r="F28" s="181" t="e">
        <f t="shared" si="1"/>
        <v>#N/A</v>
      </c>
      <c r="G28" s="181" t="e">
        <f>G27+G26</f>
        <v>#N/A</v>
      </c>
      <c r="H28" s="181" t="e">
        <f t="shared" si="1"/>
        <v>#N/A</v>
      </c>
      <c r="I28" s="181" t="e">
        <f t="shared" si="1"/>
        <v>#N/A</v>
      </c>
      <c r="J28" s="181" t="e">
        <f t="shared" si="1"/>
        <v>#N/A</v>
      </c>
      <c r="K28" s="182" t="e">
        <f t="shared" si="1"/>
        <v>#N/A</v>
      </c>
    </row>
    <row r="29" spans="1:11" ht="15">
      <c r="A29" s="177" t="s">
        <v>190</v>
      </c>
      <c r="B29" s="173"/>
      <c r="C29" s="173"/>
      <c r="D29" s="125"/>
      <c r="E29" s="125"/>
      <c r="F29" s="125"/>
      <c r="G29" s="125"/>
      <c r="H29" s="125"/>
      <c r="I29" s="125"/>
      <c r="J29" s="125"/>
      <c r="K29" s="124"/>
    </row>
    <row r="30" spans="1:11">
      <c r="A30" s="187" t="s">
        <v>525</v>
      </c>
      <c r="B30" s="173"/>
      <c r="C30" s="173"/>
      <c r="D30" s="170">
        <f>SUM(E30:K30)</f>
        <v>28250.764196</v>
      </c>
      <c r="E30" s="184">
        <f>SUM(VLOOKUP($A$12,'[1]Depr Calc'!$A$14:$AG$30,4,FALSE),VLOOKUP($A$12,'[1]Depr Calc'!$A$36:$AG$52,4,FALSE))</f>
        <v>0</v>
      </c>
      <c r="F30" s="184">
        <f>SUM(VLOOKUP($A$12,'[1]Depr Calc'!$A$14:$AG$30,8,FALSE),VLOOKUP($A$12,'[1]Depr Calc'!$A$36:$AG$52,8,FALSE),VLOOKUP($A$12,'[1]Depr Calc'!$A$58:$M$74,4,FALSE),VLOOKUP($A$12,'[1]Depr Sum by Asset'!$A$16:$L$36,8,FALSE))</f>
        <v>28250.764196</v>
      </c>
      <c r="G30" s="184">
        <f>SUM(VLOOKUP($A$12,'[1]Depr Calc'!$A$14:$AG$30,12,FALSE),VLOOKUP($A$12,'[1]Depr Calc'!$A$36:$AG$52,12,FALSE),VLOOKUP($A$12,'[1]Depr Calc'!$A$58:$M$74,8,FALSE))</f>
        <v>0</v>
      </c>
      <c r="H30" s="184">
        <f>SUM(VLOOKUP($A$12,'[1]Depr Calc'!$A$14:$AG$30,16,FALSE),VLOOKUP($A$12,'[1]Depr Calc'!$A$36:$AG$52,16,FALSE))</f>
        <v>0</v>
      </c>
      <c r="I30" s="184">
        <f>SUM(VLOOKUP($A$12,'[1]Depr Calc'!$A$14:$AG$30,20,FALSE),VLOOKUP($A$12,'[1]Depr Calc'!$A$36:$AG$58,20,FALSE))</f>
        <v>0</v>
      </c>
      <c r="J30" s="184">
        <f>SUM(VLOOKUP($A$12,'[1]Depr Calc'!$A$14:$AG$30,24,FALSE),VLOOKUP($A$12,'[1]Depr Calc'!$A$36:$AG$58,24,FALSE))</f>
        <v>0</v>
      </c>
      <c r="K30" s="188">
        <f>VLOOKUP($A$12,'[1]Depr Sum by Asset'!$A$16:$M$36,6,FALSE)</f>
        <v>0</v>
      </c>
    </row>
    <row r="31" spans="1:11">
      <c r="A31" s="187" t="s">
        <v>187</v>
      </c>
      <c r="B31" s="173"/>
      <c r="C31" s="173"/>
      <c r="D31" s="189" t="e">
        <f>SUM(E31:K31)</f>
        <v>#N/A</v>
      </c>
      <c r="E31" s="190" t="e">
        <f>E49/D49</f>
        <v>#N/A</v>
      </c>
      <c r="F31" s="190" t="e">
        <f>F49/D49</f>
        <v>#N/A</v>
      </c>
      <c r="G31" s="190" t="e">
        <f>G49/D49</f>
        <v>#N/A</v>
      </c>
      <c r="H31" s="190" t="e">
        <f>H49/D49</f>
        <v>#N/A</v>
      </c>
      <c r="I31" s="190" t="e">
        <f>I49/D49</f>
        <v>#N/A</v>
      </c>
      <c r="J31" s="190" t="e">
        <f>J49/D49</f>
        <v>#N/A</v>
      </c>
      <c r="K31" s="191" t="e">
        <f>K49/D49</f>
        <v>#N/A</v>
      </c>
    </row>
    <row r="32" spans="1:11">
      <c r="A32" s="187" t="s">
        <v>188</v>
      </c>
      <c r="B32" s="173"/>
      <c r="C32" s="173"/>
      <c r="D32" s="107">
        <f>VLOOKUP($A$12,'[1]GP Depr'!$A$70:$E$91,3,FALSE)</f>
        <v>0</v>
      </c>
      <c r="E32" s="170" t="e">
        <f>D32*E31</f>
        <v>#N/A</v>
      </c>
      <c r="F32" s="170" t="e">
        <f>D32*F31</f>
        <v>#N/A</v>
      </c>
      <c r="G32" s="170" t="e">
        <f>D32*G31</f>
        <v>#N/A</v>
      </c>
      <c r="H32" s="170" t="e">
        <f>D32*H31</f>
        <v>#N/A</v>
      </c>
      <c r="I32" s="170" t="e">
        <f>D32*I31</f>
        <v>#N/A</v>
      </c>
      <c r="J32" s="170" t="e">
        <f>D32*J31</f>
        <v>#N/A</v>
      </c>
      <c r="K32" s="179" t="e">
        <f>D32*K31</f>
        <v>#N/A</v>
      </c>
    </row>
    <row r="33" spans="1:20" ht="15.75" thickBot="1">
      <c r="A33" s="274" t="s">
        <v>189</v>
      </c>
      <c r="B33" s="275"/>
      <c r="C33" s="275"/>
      <c r="D33" s="221" t="e">
        <f>SUM(E33:K33)</f>
        <v>#N/A</v>
      </c>
      <c r="E33" s="221" t="e">
        <f t="shared" ref="E33:K33" si="2">E32+E30</f>
        <v>#N/A</v>
      </c>
      <c r="F33" s="221" t="e">
        <f>F32+F30</f>
        <v>#N/A</v>
      </c>
      <c r="G33" s="221" t="e">
        <f>G32+G30</f>
        <v>#N/A</v>
      </c>
      <c r="H33" s="221" t="e">
        <f t="shared" si="2"/>
        <v>#N/A</v>
      </c>
      <c r="I33" s="221" t="e">
        <f t="shared" si="2"/>
        <v>#N/A</v>
      </c>
      <c r="J33" s="221" t="e">
        <f t="shared" si="2"/>
        <v>#N/A</v>
      </c>
      <c r="K33" s="222" t="e">
        <f t="shared" si="2"/>
        <v>#N/A</v>
      </c>
    </row>
    <row r="34" spans="1:20" ht="9" customHeight="1">
      <c r="A34" s="168"/>
      <c r="B34" s="173"/>
      <c r="C34" s="173"/>
      <c r="D34" s="99"/>
      <c r="E34" s="99"/>
      <c r="F34" s="99"/>
      <c r="G34" s="99"/>
      <c r="H34" s="99"/>
      <c r="I34" s="99"/>
      <c r="J34" s="99"/>
      <c r="K34" s="100"/>
    </row>
    <row r="35" spans="1:20" ht="15">
      <c r="A35" s="166" t="s">
        <v>239</v>
      </c>
      <c r="B35" s="173"/>
      <c r="C35" s="173"/>
      <c r="D35" s="99"/>
      <c r="E35" s="99"/>
      <c r="F35" s="99"/>
      <c r="G35" s="99"/>
      <c r="H35" s="99"/>
      <c r="I35" s="99"/>
      <c r="J35" s="99"/>
      <c r="K35" s="100"/>
    </row>
    <row r="36" spans="1:20">
      <c r="A36" s="192" t="s">
        <v>499</v>
      </c>
      <c r="B36" s="173"/>
      <c r="C36" s="173"/>
      <c r="D36" s="99"/>
      <c r="E36" s="99"/>
      <c r="F36" s="99"/>
      <c r="G36" s="99"/>
      <c r="H36" s="99"/>
      <c r="I36" s="99"/>
      <c r="J36" s="99"/>
      <c r="K36" s="100"/>
    </row>
    <row r="37" spans="1:20">
      <c r="A37" s="193" t="s">
        <v>286</v>
      </c>
      <c r="B37" s="173"/>
      <c r="C37" s="173"/>
      <c r="D37" s="194">
        <f>SUM(E37:J37)</f>
        <v>53823.005644218851</v>
      </c>
      <c r="E37" s="195">
        <f>'[2]T4.1 - OperMaint'!$D$24/1000</f>
        <v>618.34147943144103</v>
      </c>
      <c r="F37" s="195">
        <f>'[2]T4.1 - OperMaint'!$E$24/1000</f>
        <v>48832.749636183224</v>
      </c>
      <c r="G37" s="195">
        <f>'[2]T4.1 - OperMaint'!$F$24/1000</f>
        <v>2251.9919741894219</v>
      </c>
      <c r="H37" s="195">
        <f>'[2]T4.1 - OperMaint'!$G$24/1000</f>
        <v>2106.6816600118982</v>
      </c>
      <c r="I37" s="195">
        <f>'[2]T4.1 - OperMaint'!$H$24/1000</f>
        <v>13.240894402875242</v>
      </c>
      <c r="J37" s="195">
        <f>'[2]T4.1 - OperMaint'!$I$24/1000</f>
        <v>0</v>
      </c>
      <c r="K37" s="100"/>
    </row>
    <row r="38" spans="1:20">
      <c r="A38" s="193" t="s">
        <v>287</v>
      </c>
      <c r="B38" s="173"/>
      <c r="C38" s="173"/>
      <c r="D38" s="194">
        <f>SUM(E38:J38)</f>
        <v>132737.47345136068</v>
      </c>
      <c r="E38" s="195">
        <f>'[2]T4.1 - OperMaint'!$D$17/1000</f>
        <v>3338.1230956561526</v>
      </c>
      <c r="F38" s="195">
        <f>'[2]T4.1 - OperMaint'!$E$17/1000</f>
        <v>108435.56239276817</v>
      </c>
      <c r="G38" s="195">
        <f>'[2]T4.1 - OperMaint'!$F$17/1000</f>
        <v>18653.483372581512</v>
      </c>
      <c r="H38" s="195">
        <f>'[2]T4.1 - OperMaint'!$G$17/1000</f>
        <v>791.08340744031898</v>
      </c>
      <c r="I38" s="195">
        <f>'[2]T4.1 - OperMaint'!$H$17/1000</f>
        <v>1117.8722943054693</v>
      </c>
      <c r="J38" s="195">
        <f>'[2]T4.1 - OperMaint'!$I$17/1000</f>
        <v>401.34888860906045</v>
      </c>
      <c r="K38" s="100"/>
    </row>
    <row r="39" spans="1:20" ht="15">
      <c r="A39" s="196" t="s">
        <v>288</v>
      </c>
      <c r="B39" s="169"/>
      <c r="C39" s="169"/>
      <c r="D39" s="194">
        <f>SUM(D37:D38)</f>
        <v>186560.47909557953</v>
      </c>
      <c r="E39" s="99"/>
      <c r="F39" s="99"/>
      <c r="G39" s="99"/>
      <c r="H39" s="99"/>
      <c r="I39" s="99"/>
      <c r="J39" s="99"/>
      <c r="K39" s="100"/>
    </row>
    <row r="40" spans="1:20">
      <c r="A40" s="197" t="s">
        <v>242</v>
      </c>
      <c r="B40" s="173"/>
      <c r="C40" s="173"/>
      <c r="D40" s="99"/>
      <c r="E40" s="99"/>
      <c r="F40" s="99"/>
      <c r="G40" s="99"/>
      <c r="H40" s="99"/>
      <c r="I40" s="99"/>
      <c r="J40" s="99"/>
      <c r="K40" s="100"/>
    </row>
    <row r="41" spans="1:20">
      <c r="A41" s="186" t="s">
        <v>243</v>
      </c>
      <c r="B41" s="173"/>
      <c r="C41" s="173"/>
      <c r="D41" s="198" t="e">
        <f>SUM((HLOOKUP($A$12,'Expense Input File'!$B$27:$G$59,3,FALSE)),(HLOOKUP($A$12,'Expense Input File'!$B$27:$G$59,4,FALSE)),(HLOOKUP($A$12,'Expense Input File'!$B$27:$G$59,5,FALSE)), (HLOOKUP($A$12,'Expense Input File'!$B$27:$G$59,6,FALSE)),(HLOOKUP($A$12,'Expense Input File'!$B$27:$G$59,7,FALSE)))-$K$41</f>
        <v>#N/A</v>
      </c>
      <c r="E41" s="99"/>
      <c r="F41" s="198" t="e">
        <f>(HLOOKUP($A$12,'Expense Input File'!$A$27:$G$59,33,FALSE))</f>
        <v>#N/A</v>
      </c>
      <c r="G41" s="99"/>
      <c r="H41" s="99"/>
      <c r="I41" s="99"/>
      <c r="J41" s="99"/>
      <c r="K41" s="199" t="e">
        <f>SUM((HLOOKUP($A$12,'Expense Input File'!$B$27:$G$59,3,FALSE)),(HLOOKUP($A$12,'Expense Input File'!$B$27:$G$59,4,FALSE)),(HLOOKUP($A$12,'Expense Input File'!$B$27:$G$59,5,FALSE)), (HLOOKUP($A$12,'Expense Input File'!$B$27:$G$59,6,FALSE)))-(HLOOKUP($A$12,'Expense Input File'!$A$27:$G$59,8,FALSE))</f>
        <v>#N/A</v>
      </c>
      <c r="L41" s="144" t="s">
        <v>498</v>
      </c>
      <c r="M41" s="111"/>
      <c r="N41" s="111"/>
      <c r="O41" s="111"/>
      <c r="P41" s="111"/>
      <c r="Q41" s="111"/>
      <c r="R41" s="111"/>
      <c r="S41" s="111"/>
      <c r="T41" s="111"/>
    </row>
    <row r="42" spans="1:20">
      <c r="A42" s="186" t="s">
        <v>244</v>
      </c>
      <c r="B42" s="173"/>
      <c r="C42" s="173"/>
      <c r="D42" s="198" t="e">
        <f>HLOOKUP($A$12,'Expense Input File'!$B$14:$G$24,4,FALSE)</f>
        <v>#N/A</v>
      </c>
      <c r="E42" s="99"/>
      <c r="F42" s="99"/>
      <c r="G42" s="99"/>
      <c r="H42" s="99"/>
      <c r="I42" s="99"/>
      <c r="J42" s="99"/>
      <c r="K42" s="100"/>
      <c r="M42" s="111"/>
      <c r="N42" s="111"/>
      <c r="O42" s="111"/>
      <c r="P42" s="111"/>
      <c r="Q42" s="111"/>
      <c r="R42" s="111"/>
      <c r="S42" s="111"/>
      <c r="T42" s="111"/>
    </row>
    <row r="43" spans="1:20" ht="5.25" customHeight="1">
      <c r="A43" s="186"/>
      <c r="B43" s="173"/>
      <c r="C43" s="173"/>
      <c r="D43" s="102"/>
      <c r="E43" s="99"/>
      <c r="F43" s="99"/>
      <c r="G43" s="99"/>
      <c r="H43" s="99"/>
      <c r="I43" s="99"/>
      <c r="J43" s="99"/>
      <c r="K43" s="100"/>
    </row>
    <row r="44" spans="1:20">
      <c r="A44" s="200" t="s">
        <v>256</v>
      </c>
      <c r="B44" s="173"/>
      <c r="C44" s="173"/>
      <c r="D44" s="183" t="e">
        <f>SUM(D41:D42)</f>
        <v>#N/A</v>
      </c>
      <c r="E44" s="99"/>
      <c r="F44" s="99"/>
      <c r="G44" s="99"/>
      <c r="H44" s="99"/>
      <c r="I44" s="99"/>
      <c r="J44" s="99"/>
      <c r="K44" s="100"/>
    </row>
    <row r="45" spans="1:20">
      <c r="A45" s="201" t="s">
        <v>257</v>
      </c>
      <c r="B45" s="173"/>
      <c r="C45" s="173"/>
      <c r="D45" s="183" t="e">
        <f>D44-D46</f>
        <v>#N/A</v>
      </c>
      <c r="E45" s="170" t="e">
        <f>(E37/D37)*D45</f>
        <v>#N/A</v>
      </c>
      <c r="F45" s="183" t="e">
        <f>(F37/D37)*D45</f>
        <v>#N/A</v>
      </c>
      <c r="G45" s="183" t="e">
        <f>(G37/D37)*D45</f>
        <v>#N/A</v>
      </c>
      <c r="H45" s="183" t="e">
        <f>(H37/D37)*D45</f>
        <v>#N/A</v>
      </c>
      <c r="I45" s="183" t="e">
        <f>(I37/D37)*D45</f>
        <v>#N/A</v>
      </c>
      <c r="J45" s="183" t="e">
        <f>(J37/D37)*D45</f>
        <v>#N/A</v>
      </c>
      <c r="K45" s="100"/>
    </row>
    <row r="46" spans="1:20">
      <c r="A46" s="201" t="s">
        <v>259</v>
      </c>
      <c r="B46" s="173"/>
      <c r="C46" s="173"/>
      <c r="D46" s="170" t="e">
        <f>((D38/D39)*D44)</f>
        <v>#N/A</v>
      </c>
      <c r="E46" s="202" t="e">
        <f>(E38/D38)*D46</f>
        <v>#N/A</v>
      </c>
      <c r="F46" s="183" t="e">
        <f>(F38/D38)*D46</f>
        <v>#N/A</v>
      </c>
      <c r="G46" s="183" t="e">
        <f>(G38/D38)*D46</f>
        <v>#N/A</v>
      </c>
      <c r="H46" s="183" t="e">
        <f>(H38/D38)*D46</f>
        <v>#N/A</v>
      </c>
      <c r="I46" s="183" t="e">
        <f>(I38/D38)*D46</f>
        <v>#N/A</v>
      </c>
      <c r="J46" s="183" t="e">
        <f>(J38/D38)*D46</f>
        <v>#N/A</v>
      </c>
      <c r="K46" s="100"/>
    </row>
    <row r="47" spans="1:20" ht="15">
      <c r="A47" s="203" t="s">
        <v>258</v>
      </c>
      <c r="B47" s="169"/>
      <c r="C47" s="169"/>
      <c r="D47" s="183" t="e">
        <f>SUM(E47:J47)</f>
        <v>#N/A</v>
      </c>
      <c r="E47" s="183" t="e">
        <f t="shared" ref="E47:J47" si="3">SUM(E45:E46)</f>
        <v>#N/A</v>
      </c>
      <c r="F47" s="183" t="e">
        <f t="shared" si="3"/>
        <v>#N/A</v>
      </c>
      <c r="G47" s="183" t="e">
        <f t="shared" si="3"/>
        <v>#N/A</v>
      </c>
      <c r="H47" s="183" t="e">
        <f t="shared" si="3"/>
        <v>#N/A</v>
      </c>
      <c r="I47" s="183" t="e">
        <f t="shared" si="3"/>
        <v>#N/A</v>
      </c>
      <c r="J47" s="183" t="e">
        <f t="shared" si="3"/>
        <v>#N/A</v>
      </c>
      <c r="K47" s="100"/>
    </row>
    <row r="48" spans="1:20">
      <c r="A48" s="204" t="s">
        <v>25</v>
      </c>
      <c r="B48" s="173"/>
      <c r="C48" s="173"/>
      <c r="D48" s="205" t="e">
        <f>K48</f>
        <v>#N/A</v>
      </c>
      <c r="E48" s="122"/>
      <c r="F48" s="122"/>
      <c r="G48" s="122"/>
      <c r="H48" s="122"/>
      <c r="I48" s="122"/>
      <c r="J48" s="122"/>
      <c r="K48" s="206" t="e">
        <f>SUM((HLOOKUP($A$12,'Expense Input File'!$A$27:$G$59,24,FALSE)),(HLOOKUP($A$12,'Expense Input File'!$A$27:$G$59,25,FALSE)),(HLOOKUP($A$12,'Expense Input File'!$A$27:$G$59,26,FALSE)),(HLOOKUP($A$12,'Expense Input File'!$A$27:$G$59,27,FALSE)),(HLOOKUP($A$12,'Expense Input File'!$A$27:$G$59,28,FALSE)))</f>
        <v>#N/A</v>
      </c>
    </row>
    <row r="49" spans="1:17" ht="15">
      <c r="A49" s="207" t="s">
        <v>260</v>
      </c>
      <c r="B49" s="169"/>
      <c r="C49" s="169"/>
      <c r="D49" s="181" t="e">
        <f>SUM(E49:K49)</f>
        <v>#N/A</v>
      </c>
      <c r="E49" s="181" t="e">
        <f t="shared" ref="E49:J49" si="4">E47</f>
        <v>#N/A</v>
      </c>
      <c r="F49" s="181" t="e">
        <f>F47+F41</f>
        <v>#N/A</v>
      </c>
      <c r="G49" s="181" t="e">
        <f t="shared" si="4"/>
        <v>#N/A</v>
      </c>
      <c r="H49" s="181" t="e">
        <f t="shared" si="4"/>
        <v>#N/A</v>
      </c>
      <c r="I49" s="181" t="e">
        <f t="shared" si="4"/>
        <v>#N/A</v>
      </c>
      <c r="J49" s="181" t="e">
        <f t="shared" si="4"/>
        <v>#N/A</v>
      </c>
      <c r="K49" s="182" t="e">
        <f>K48+K41</f>
        <v>#N/A</v>
      </c>
    </row>
    <row r="50" spans="1:17">
      <c r="A50" s="197" t="s">
        <v>261</v>
      </c>
      <c r="B50" s="173"/>
      <c r="C50" s="173"/>
      <c r="D50" s="108"/>
      <c r="E50" s="99"/>
      <c r="F50" s="99"/>
      <c r="G50" s="99"/>
      <c r="H50" s="99"/>
      <c r="I50" s="99"/>
      <c r="J50" s="99"/>
      <c r="K50" s="100"/>
    </row>
    <row r="51" spans="1:17">
      <c r="A51" s="208" t="s">
        <v>47</v>
      </c>
      <c r="B51" s="173"/>
      <c r="C51" s="173"/>
      <c r="D51" s="198" t="e">
        <f>SUM((HLOOKUP($A$12,'Expense Input File'!$A$27:$G$59,10,FALSE)),(HLOOKUP($A$12,'Expense Input File'!$A$27:$G$59,11,FALSE)),(HLOOKUP($A$12,'Expense Input File'!$A$27:$G$59,12,FALSE)),(HLOOKUP($A$12,'Expense Input File'!$A$27:$G$59,13,FALSE)))</f>
        <v>#N/A</v>
      </c>
      <c r="E51" s="170" t="e">
        <f>(E49/D49)*D51</f>
        <v>#N/A</v>
      </c>
      <c r="F51" s="170" t="e">
        <f>(F49/D49)*D51</f>
        <v>#N/A</v>
      </c>
      <c r="G51" s="170" t="e">
        <f>(G49/D49)*D51</f>
        <v>#N/A</v>
      </c>
      <c r="H51" s="170" t="e">
        <f>(H49/D49)*D51</f>
        <v>#N/A</v>
      </c>
      <c r="I51" s="170" t="e">
        <f>(I49/D49)*D51</f>
        <v>#N/A</v>
      </c>
      <c r="J51" s="170" t="e">
        <f>(J49/D49)*D51</f>
        <v>#N/A</v>
      </c>
      <c r="K51" s="179" t="e">
        <f>(K49/D49)*D51</f>
        <v>#N/A</v>
      </c>
    </row>
    <row r="52" spans="1:17">
      <c r="A52" s="208" t="s">
        <v>48</v>
      </c>
      <c r="B52" s="173"/>
      <c r="C52" s="173"/>
      <c r="D52" s="198" t="e">
        <f>SUM((HLOOKUP($A$12,'Expense Input File'!$A$27:$G$59,14,FALSE)),(HLOOKUP($A$12,'Expense Input File'!$A$27:$G$59,16,FALSE)),(HLOOKUP($A$12,'Expense Input File'!$A$27:$G$59,17,FALSE)),(HLOOKUP($A$12,'Expense Input File'!$A$27:$G$59,18,FALSE)),(HLOOKUP($A$12,'Expense Input File'!$A$27:$G$59,19,FALSE)),(HLOOKUP($A$12,'Expense Input File'!$A$27:$G$59,20,FALSE)),(HLOOKUP($A$12,'Expense Input File'!$A$27:$G$59,21,FALSE)),(HLOOKUP($A$12,'Expense Input File'!$A$27:$G$59,30,FALSE)),(HLOOKUP($A$12,'Expense Input File'!$A$27:$G$59,31,FALSE)),(HLOOKUP($A$12,'Expense Input File'!$A$27:$G$59,32,FALSE)))</f>
        <v>#N/A</v>
      </c>
      <c r="E52" s="170" t="e">
        <f>(E49/D49)*D52</f>
        <v>#N/A</v>
      </c>
      <c r="F52" s="170" t="e">
        <f>(F49/D49)*D52</f>
        <v>#N/A</v>
      </c>
      <c r="G52" s="170" t="e">
        <f>(G49/D49)*D52</f>
        <v>#N/A</v>
      </c>
      <c r="H52" s="170" t="e">
        <f>(H49/D49)*D52</f>
        <v>#N/A</v>
      </c>
      <c r="I52" s="170" t="e">
        <f>(I49/D49)*D52</f>
        <v>#N/A</v>
      </c>
      <c r="J52" s="170" t="e">
        <f>(J49/D49)*D52</f>
        <v>#N/A</v>
      </c>
      <c r="K52" s="179" t="e">
        <f>(K49/D49)*D52</f>
        <v>#N/A</v>
      </c>
    </row>
    <row r="53" spans="1:17">
      <c r="A53" s="208" t="s">
        <v>263</v>
      </c>
      <c r="B53" s="173"/>
      <c r="C53" s="173"/>
      <c r="D53" s="198" t="e">
        <f>HLOOKUP($A$12,'Expense Input File'!$B$14:$G$24,3,FALSE)</f>
        <v>#N/A</v>
      </c>
      <c r="E53" s="198" t="e">
        <f>(E49/D49)*(D53-(HLOOKUP($A$12,'Expense Input File'!$A$14:$G$24,10,FALSE)))</f>
        <v>#N/A</v>
      </c>
      <c r="F53" s="107" t="e">
        <f>(F49/D49)*(D53-(HLOOKUP($A$12,'Expense Input File'!$A$14:$G$24,10,FALSE)))</f>
        <v>#N/A</v>
      </c>
      <c r="G53" s="198" t="e">
        <f>(G49/D49)*(D53-(HLOOKUP($A$12,'Expense Input File'!$A$14:$G$24,10,FALSE)))</f>
        <v>#N/A</v>
      </c>
      <c r="H53" s="198" t="e">
        <f>(H49/D49)*(D53-(HLOOKUP($A$12,'Expense Input File'!$A$14:$G$24,10,FALSE)))</f>
        <v>#N/A</v>
      </c>
      <c r="I53" s="198" t="e">
        <f>(I49/D49)*(D53-(HLOOKUP($A$12,'Expense Input File'!$A$14:$G$24,10,FALSE)))</f>
        <v>#N/A</v>
      </c>
      <c r="J53" s="198" t="e">
        <f>(J49/D49)*(D53-(HLOOKUP($A$12,'Expense Input File'!$A$14:$G$24,10,FALSE)))</f>
        <v>#N/A</v>
      </c>
      <c r="K53" s="199" t="e">
        <f>((K49/D49)*(D53-(HLOOKUP($A$12,'Expense Input File'!$A$14:$G$24,10,FALSE))))+(HLOOKUP($A$12,'Expense Input File'!$A$14:$G$24,10,FALSE))</f>
        <v>#N/A</v>
      </c>
    </row>
    <row r="54" spans="1:17">
      <c r="A54" s="208" t="s">
        <v>281</v>
      </c>
      <c r="B54" s="173"/>
      <c r="C54" s="173"/>
      <c r="D54" s="209" t="e">
        <f>SUM((HLOOKUP($A$12,'Expense Input File'!$A$14:$G$24,7,FALSE)),(HLOOKUP($A$12,'Expense Input File'!$A$14:$G$24,8,FALSE)))</f>
        <v>#N/A</v>
      </c>
      <c r="E54" s="210" t="e">
        <f>(E49/D49)*D54</f>
        <v>#N/A</v>
      </c>
      <c r="F54" s="210" t="e">
        <f>(F49/D49)*D54</f>
        <v>#N/A</v>
      </c>
      <c r="G54" s="210" t="e">
        <f>(G49/D49)*D54</f>
        <v>#N/A</v>
      </c>
      <c r="H54" s="210" t="e">
        <f>(H49/D49)*D54</f>
        <v>#N/A</v>
      </c>
      <c r="I54" s="210" t="e">
        <f>(I49/D49)*D54</f>
        <v>#N/A</v>
      </c>
      <c r="J54" s="210" t="e">
        <f>(J49/D49)*D54</f>
        <v>#N/A</v>
      </c>
      <c r="K54" s="211" t="e">
        <f>(K49/D49)*D54</f>
        <v>#N/A</v>
      </c>
    </row>
    <row r="55" spans="1:17" ht="15">
      <c r="A55" s="212" t="s">
        <v>279</v>
      </c>
      <c r="B55" s="173"/>
      <c r="C55" s="173"/>
      <c r="D55" s="181" t="e">
        <f>SUM(D51:D54)</f>
        <v>#N/A</v>
      </c>
      <c r="E55" s="181" t="e">
        <f t="shared" ref="E55:J55" si="5">SUM(E51:E54)</f>
        <v>#N/A</v>
      </c>
      <c r="F55" s="181" t="e">
        <f t="shared" si="5"/>
        <v>#N/A</v>
      </c>
      <c r="G55" s="181" t="e">
        <f t="shared" si="5"/>
        <v>#N/A</v>
      </c>
      <c r="H55" s="181" t="e">
        <f t="shared" si="5"/>
        <v>#N/A</v>
      </c>
      <c r="I55" s="181" t="e">
        <f t="shared" si="5"/>
        <v>#N/A</v>
      </c>
      <c r="J55" s="181" t="e">
        <f t="shared" si="5"/>
        <v>#N/A</v>
      </c>
      <c r="K55" s="182" t="e">
        <f>SUM(K51:K54)</f>
        <v>#N/A</v>
      </c>
      <c r="L55" s="223"/>
    </row>
    <row r="56" spans="1:17" ht="15">
      <c r="A56" s="166" t="s">
        <v>252</v>
      </c>
      <c r="B56" s="173"/>
      <c r="C56" s="173"/>
      <c r="D56" s="181" t="e">
        <f t="shared" ref="D56:K56" si="6">D55+D49</f>
        <v>#N/A</v>
      </c>
      <c r="E56" s="181" t="e">
        <f t="shared" si="6"/>
        <v>#N/A</v>
      </c>
      <c r="F56" s="181" t="e">
        <f t="shared" si="6"/>
        <v>#N/A</v>
      </c>
      <c r="G56" s="181" t="e">
        <f t="shared" si="6"/>
        <v>#N/A</v>
      </c>
      <c r="H56" s="181" t="e">
        <f t="shared" si="6"/>
        <v>#N/A</v>
      </c>
      <c r="I56" s="181" t="e">
        <f t="shared" si="6"/>
        <v>#N/A</v>
      </c>
      <c r="J56" s="181" t="e">
        <f t="shared" si="6"/>
        <v>#N/A</v>
      </c>
      <c r="K56" s="182" t="e">
        <f t="shared" si="6"/>
        <v>#N/A</v>
      </c>
      <c r="L56" s="224"/>
    </row>
    <row r="57" spans="1:17">
      <c r="A57" s="213" t="s">
        <v>178</v>
      </c>
      <c r="B57" s="173"/>
      <c r="C57" s="173"/>
      <c r="D57" s="99"/>
      <c r="E57" s="99"/>
      <c r="F57" s="99"/>
      <c r="G57" s="99"/>
      <c r="H57" s="99"/>
      <c r="I57" s="99"/>
      <c r="J57" s="99"/>
      <c r="K57" s="100"/>
    </row>
    <row r="58" spans="1:17">
      <c r="A58" s="186" t="s">
        <v>268</v>
      </c>
      <c r="B58" s="173"/>
      <c r="C58" s="173"/>
      <c r="D58" s="102"/>
      <c r="E58" s="99"/>
      <c r="F58" s="99"/>
      <c r="G58" s="99"/>
      <c r="H58" s="99"/>
      <c r="I58" s="99"/>
      <c r="J58" s="99"/>
      <c r="K58" s="100"/>
    </row>
    <row r="59" spans="1:17" ht="15">
      <c r="A59" s="186" t="s">
        <v>266</v>
      </c>
      <c r="B59" s="173"/>
      <c r="C59" s="173"/>
      <c r="D59" s="198" t="e">
        <f>(HLOOKUP($A$12,'Expense Input File'!$A$27:$G$80,37,FALSE))</f>
        <v>#N/A</v>
      </c>
      <c r="E59" s="102"/>
      <c r="F59" s="214" t="e">
        <f>$D$59*'[3]Corps Rec Transmission'!$O$3</f>
        <v>#N/A</v>
      </c>
      <c r="G59" s="102"/>
      <c r="H59" s="102"/>
      <c r="I59" s="214" t="e">
        <f>$D$59*'[3]Corps Rec Transmission'!$O$4</f>
        <v>#N/A</v>
      </c>
      <c r="J59" s="215"/>
      <c r="K59" s="100"/>
      <c r="L59" s="92"/>
      <c r="M59" s="92"/>
    </row>
    <row r="60" spans="1:17">
      <c r="A60" s="186" t="s">
        <v>267</v>
      </c>
      <c r="B60" s="173"/>
      <c r="C60" s="173"/>
      <c r="D60" s="198" t="e">
        <f>(HLOOKUP($A$12,'Expense Input File'!$A$27:$G$80,38,FALSE))</f>
        <v>#N/A</v>
      </c>
      <c r="E60" s="102"/>
      <c r="F60" s="133"/>
      <c r="G60" s="183" t="e">
        <f>D60</f>
        <v>#N/A</v>
      </c>
      <c r="H60" s="99"/>
      <c r="I60" s="99"/>
      <c r="J60" s="99"/>
      <c r="K60" s="100"/>
    </row>
    <row r="61" spans="1:17">
      <c r="A61" s="186" t="s">
        <v>265</v>
      </c>
      <c r="B61" s="173"/>
      <c r="C61" s="173"/>
      <c r="D61" s="198" t="e">
        <f>(HLOOKUP($A$12,'Expense Input File'!$A$27:$G$80,41,FALSE))</f>
        <v>#N/A</v>
      </c>
      <c r="E61" s="102"/>
      <c r="F61" s="183" t="e">
        <f>D61</f>
        <v>#N/A</v>
      </c>
      <c r="G61" s="133"/>
      <c r="H61" s="99"/>
      <c r="I61" s="99"/>
      <c r="J61" s="99"/>
      <c r="K61" s="100"/>
    </row>
    <row r="62" spans="1:17" ht="15">
      <c r="A62" s="186" t="s">
        <v>451</v>
      </c>
      <c r="B62" s="173"/>
      <c r="C62" s="173"/>
      <c r="D62" s="198" t="e">
        <f>(HLOOKUP($A$12,'Expense Input File'!$A$27:$G$80,39,FALSE))</f>
        <v>#N/A</v>
      </c>
      <c r="E62" s="102"/>
      <c r="F62" s="216" t="e">
        <f>$D$62*'[4]BP-20-E-BPA-05A Table X.3'!$G$7</f>
        <v>#N/A</v>
      </c>
      <c r="G62" s="216" t="e">
        <f>$D$62*'[4]BP-20-E-BPA-05A Table X.3'!$G$6</f>
        <v>#N/A</v>
      </c>
      <c r="H62" s="99"/>
      <c r="I62" s="99"/>
      <c r="J62" s="99"/>
      <c r="K62" s="100"/>
      <c r="L62" s="92"/>
      <c r="M62" s="92"/>
      <c r="N62" s="92"/>
      <c r="O62" s="92"/>
      <c r="P62" s="92"/>
      <c r="Q62" s="92"/>
    </row>
    <row r="63" spans="1:17">
      <c r="A63" s="186" t="s">
        <v>264</v>
      </c>
      <c r="B63" s="173"/>
      <c r="C63" s="173"/>
      <c r="D63" s="198" t="e">
        <f>HLOOKUP($A$12,'Expense Input File'!$B$27:$G$80,42,FALSE)</f>
        <v>#N/A</v>
      </c>
      <c r="E63" s="170" t="e">
        <f>(E38/D38)*D63</f>
        <v>#N/A</v>
      </c>
      <c r="F63" s="170" t="e">
        <f>(F38/D38)*D63</f>
        <v>#N/A</v>
      </c>
      <c r="G63" s="170" t="e">
        <f>(G38/D38)*D63</f>
        <v>#N/A</v>
      </c>
      <c r="H63" s="170" t="e">
        <f>(H38/D38)*D63</f>
        <v>#N/A</v>
      </c>
      <c r="I63" s="170" t="e">
        <f>(I38/D38)*D63</f>
        <v>#N/A</v>
      </c>
      <c r="J63" s="170" t="e">
        <f>(J38/D38)*D63</f>
        <v>#N/A</v>
      </c>
      <c r="K63" s="100"/>
    </row>
    <row r="64" spans="1:17" ht="15">
      <c r="A64" s="186" t="s">
        <v>253</v>
      </c>
      <c r="B64" s="169"/>
      <c r="C64" s="173"/>
      <c r="D64" s="217" t="e">
        <f>K64</f>
        <v>#N/A</v>
      </c>
      <c r="E64" s="123"/>
      <c r="F64" s="122"/>
      <c r="G64" s="122"/>
      <c r="H64" s="122"/>
      <c r="I64" s="122"/>
      <c r="J64" s="122"/>
      <c r="K64" s="206" t="e">
        <f>HLOOKUP($A$12,'Expense Input File'!$A$27:$G$80,35,FALSE)</f>
        <v>#N/A</v>
      </c>
      <c r="L64" s="112"/>
    </row>
    <row r="65" spans="1:12" ht="15">
      <c r="A65" s="180" t="s">
        <v>277</v>
      </c>
      <c r="B65" s="173"/>
      <c r="C65" s="173"/>
      <c r="D65" s="218" t="e">
        <f>SUM(D59:D64)</f>
        <v>#N/A</v>
      </c>
      <c r="E65" s="218" t="e">
        <f t="shared" ref="E65:K65" si="7">SUM(E59:E64)</f>
        <v>#N/A</v>
      </c>
      <c r="F65" s="218" t="e">
        <f t="shared" si="7"/>
        <v>#N/A</v>
      </c>
      <c r="G65" s="218" t="e">
        <f t="shared" si="7"/>
        <v>#N/A</v>
      </c>
      <c r="H65" s="218" t="e">
        <f t="shared" si="7"/>
        <v>#N/A</v>
      </c>
      <c r="I65" s="218" t="e">
        <f t="shared" si="7"/>
        <v>#N/A</v>
      </c>
      <c r="J65" s="218" t="e">
        <f t="shared" si="7"/>
        <v>#N/A</v>
      </c>
      <c r="K65" s="219" t="e">
        <f t="shared" si="7"/>
        <v>#N/A</v>
      </c>
    </row>
    <row r="66" spans="1:12">
      <c r="A66" s="186" t="s">
        <v>269</v>
      </c>
      <c r="B66" s="173"/>
      <c r="C66" s="173"/>
      <c r="D66" s="99"/>
      <c r="E66" s="102"/>
      <c r="F66" s="99"/>
      <c r="G66" s="99"/>
      <c r="H66" s="99"/>
      <c r="I66" s="99"/>
      <c r="J66" s="99"/>
      <c r="K66" s="100"/>
    </row>
    <row r="67" spans="1:12">
      <c r="A67" s="186" t="s">
        <v>43</v>
      </c>
      <c r="B67" s="173"/>
      <c r="C67" s="173"/>
      <c r="D67" s="170" t="e">
        <f>SUM(E67:K67)</f>
        <v>#N/A</v>
      </c>
      <c r="E67" s="198" t="e">
        <f>(HLOOKUP($A$12,'Expense Input File'!$B$60:$G$82,22,FALSE))*E15</f>
        <v>#N/A</v>
      </c>
      <c r="F67" s="198" t="e">
        <f>(HLOOKUP($A$12,'Expense Input File'!$B$60:$G$82,22,FALSE))*F15</f>
        <v>#N/A</v>
      </c>
      <c r="G67" s="198" t="e">
        <f>(HLOOKUP($A$12,'Expense Input File'!$B$60:$G$82,22,FALSE))*G15</f>
        <v>#N/A</v>
      </c>
      <c r="H67" s="198" t="e">
        <f>(HLOOKUP($A$12,'Expense Input File'!$B$60:$G$82,22,FALSE))*H15</f>
        <v>#N/A</v>
      </c>
      <c r="I67" s="198" t="e">
        <f>(HLOOKUP($A$12,'Expense Input File'!$B$60:$G$82,22,FALSE))*I15</f>
        <v>#N/A</v>
      </c>
      <c r="J67" s="198" t="e">
        <f>(HLOOKUP($A$12,'Expense Input File'!$B$60:$G$82,22,FALSE))*J15</f>
        <v>#N/A</v>
      </c>
      <c r="K67" s="199" t="e">
        <f>((HLOOKUP($A$12,'Expense Input File'!$B$60:$G$82,22,FALSE))*K15)+(HLOOKUP($A$12,'Expense Input File'!$B$60:$G$82,23,FALSE))</f>
        <v>#N/A</v>
      </c>
    </row>
    <row r="68" spans="1:12">
      <c r="A68" s="186" t="s">
        <v>44</v>
      </c>
      <c r="B68" s="173"/>
      <c r="C68" s="173"/>
      <c r="D68" s="198" t="e">
        <f>HLOOKUP($A$12,'Expense Input File'!$A$27:$G$80,46,FALSE)</f>
        <v>#N/A</v>
      </c>
      <c r="E68" s="102"/>
      <c r="F68" s="183" t="e">
        <f>D68</f>
        <v>#N/A</v>
      </c>
      <c r="G68" s="108"/>
      <c r="H68" s="108"/>
      <c r="I68" s="108"/>
      <c r="J68" s="108"/>
      <c r="K68" s="109"/>
    </row>
    <row r="69" spans="1:12">
      <c r="A69" s="186" t="s">
        <v>45</v>
      </c>
      <c r="B69" s="173"/>
      <c r="C69" s="173"/>
      <c r="D69" s="198" t="e">
        <f>HLOOKUP($A$12,'Expense Input File'!$A$27:$G$80,47,FALSE)</f>
        <v>#N/A</v>
      </c>
      <c r="E69" s="202" t="e">
        <f>(E49/D49)*D69</f>
        <v>#N/A</v>
      </c>
      <c r="F69" s="170" t="e">
        <f>(F49/D49)*D69</f>
        <v>#N/A</v>
      </c>
      <c r="G69" s="170" t="e">
        <f>(G49/D49)*D69</f>
        <v>#N/A</v>
      </c>
      <c r="H69" s="170" t="e">
        <f>(H49/D49)*D69</f>
        <v>#N/A</v>
      </c>
      <c r="I69" s="170" t="e">
        <f>(I49/D49)*D69</f>
        <v>#N/A</v>
      </c>
      <c r="J69" s="170" t="e">
        <f>(J49/D49)*D69</f>
        <v>#N/A</v>
      </c>
      <c r="K69" s="179" t="e">
        <f>(K49/D49)*D69</f>
        <v>#N/A</v>
      </c>
    </row>
    <row r="70" spans="1:12">
      <c r="A70" s="186" t="s">
        <v>46</v>
      </c>
      <c r="B70" s="173"/>
      <c r="C70" s="173"/>
      <c r="D70" s="209" t="e">
        <f>HLOOKUP($A$12,'Expense Input File'!$A$27:$G$80,48,FALSE)</f>
        <v>#N/A</v>
      </c>
      <c r="E70" s="123"/>
      <c r="F70" s="123"/>
      <c r="G70" s="123"/>
      <c r="H70" s="123"/>
      <c r="I70" s="123"/>
      <c r="J70" s="123"/>
      <c r="K70" s="211" t="e">
        <f>D70</f>
        <v>#N/A</v>
      </c>
      <c r="L70" s="112"/>
    </row>
    <row r="71" spans="1:12" ht="15">
      <c r="A71" s="180" t="s">
        <v>278</v>
      </c>
      <c r="B71" s="173"/>
      <c r="C71" s="173"/>
      <c r="D71" s="218" t="e">
        <f>SUM(D67:D70)</f>
        <v>#N/A</v>
      </c>
      <c r="E71" s="218" t="e">
        <f t="shared" ref="E71:J71" si="8">SUM(E67:E70)</f>
        <v>#N/A</v>
      </c>
      <c r="F71" s="218" t="e">
        <f t="shared" si="8"/>
        <v>#N/A</v>
      </c>
      <c r="G71" s="218" t="e">
        <f t="shared" si="8"/>
        <v>#N/A</v>
      </c>
      <c r="H71" s="218" t="e">
        <f t="shared" si="8"/>
        <v>#N/A</v>
      </c>
      <c r="I71" s="218" t="e">
        <f t="shared" si="8"/>
        <v>#N/A</v>
      </c>
      <c r="J71" s="218" t="e">
        <f t="shared" si="8"/>
        <v>#N/A</v>
      </c>
      <c r="K71" s="219" t="e">
        <f>SUM(K67:K70)</f>
        <v>#N/A</v>
      </c>
    </row>
    <row r="72" spans="1:12" ht="15.75" customHeight="1" thickBot="1">
      <c r="A72" s="220" t="s">
        <v>270</v>
      </c>
      <c r="B72" s="220"/>
      <c r="C72" s="220"/>
      <c r="D72" s="221" t="e">
        <f>SUM(E72:K72)</f>
        <v>#N/A</v>
      </c>
      <c r="E72" s="221" t="e">
        <f>E71+E65</f>
        <v>#N/A</v>
      </c>
      <c r="F72" s="221" t="e">
        <f t="shared" ref="F72:K72" si="9">F71+F65</f>
        <v>#N/A</v>
      </c>
      <c r="G72" s="221" t="e">
        <f t="shared" si="9"/>
        <v>#N/A</v>
      </c>
      <c r="H72" s="221" t="e">
        <f t="shared" si="9"/>
        <v>#N/A</v>
      </c>
      <c r="I72" s="221" t="e">
        <f t="shared" si="9"/>
        <v>#N/A</v>
      </c>
      <c r="J72" s="221" t="e">
        <f t="shared" si="9"/>
        <v>#N/A</v>
      </c>
      <c r="K72" s="222" t="e">
        <f t="shared" si="9"/>
        <v>#N/A</v>
      </c>
    </row>
    <row r="75" spans="1:12">
      <c r="A75" s="92"/>
      <c r="B75" s="92"/>
      <c r="C75" s="92"/>
      <c r="D75" s="92"/>
      <c r="E75" s="92"/>
    </row>
    <row r="76" spans="1:12">
      <c r="A76" s="92"/>
      <c r="B76" s="92"/>
      <c r="C76" s="92"/>
      <c r="D76" s="92"/>
      <c r="E76" s="92"/>
    </row>
    <row r="77" spans="1:12">
      <c r="A77" s="92"/>
      <c r="B77" s="92"/>
      <c r="C77" s="92"/>
      <c r="D77" s="92"/>
      <c r="E77" s="92"/>
    </row>
    <row r="78" spans="1:12">
      <c r="A78" s="92"/>
      <c r="B78" s="92"/>
      <c r="C78" s="92"/>
      <c r="D78" s="92"/>
      <c r="E78" s="92"/>
    </row>
    <row r="79" spans="1:12">
      <c r="A79" s="92"/>
      <c r="B79" s="92"/>
      <c r="C79" s="92"/>
      <c r="D79" s="92"/>
    </row>
    <row r="80" spans="1:12">
      <c r="A80" s="92"/>
      <c r="B80" s="92"/>
      <c r="C80" s="92"/>
      <c r="D80" s="92"/>
    </row>
  </sheetData>
  <mergeCells count="4">
    <mergeCell ref="A1:K1"/>
    <mergeCell ref="E9:J9"/>
    <mergeCell ref="A10:B10"/>
    <mergeCell ref="A12:C12"/>
  </mergeCells>
  <hyperlinks>
    <hyperlink ref="I5" location="'Revenue Requirement'!A1" display="Revenue Requirement"/>
    <hyperlink ref="I4" location="AFUDC!A1" display="AFUDC"/>
    <hyperlink ref="I3" location="'Repayment Inputs'!A1" display="Repayment Inputs"/>
    <hyperlink ref="I6" location="'Expense Input File'!A1" display="Expense Input"/>
    <hyperlink ref="G4" r:id="rId1"/>
    <hyperlink ref="G5" r:id="rId2"/>
    <hyperlink ref="G6" r:id="rId3"/>
    <hyperlink ref="G7" r:id="rId4"/>
  </hyperlinks>
  <pageMargins left="0.25" right="0.25" top="0.75" bottom="0.75" header="0.3" footer="0.3"/>
  <pageSetup scale="51" orientation="portrait" r:id="rId5"/>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pageSetUpPr autoPageBreaks="0" fitToPage="1"/>
  </sheetPr>
  <dimension ref="A1:L77"/>
  <sheetViews>
    <sheetView workbookViewId="0">
      <pane ySplit="12" topLeftCell="A22" activePane="bottomLeft" state="frozen"/>
      <selection activeCell="F57" sqref="F57"/>
      <selection pane="bottomLeft" activeCell="F57" sqref="F57"/>
    </sheetView>
  </sheetViews>
  <sheetFormatPr defaultColWidth="9.140625" defaultRowHeight="14.25" outlineLevelRow="1"/>
  <cols>
    <col min="1" max="2" width="9.140625" style="93"/>
    <col min="3" max="3" width="29.28515625" style="93" customWidth="1"/>
    <col min="4" max="11" width="15.7109375" style="93" customWidth="1"/>
    <col min="12" max="16384" width="9.140625" style="93"/>
  </cols>
  <sheetData>
    <row r="1" spans="1:12" ht="18" hidden="1" outlineLevel="1">
      <c r="A1" s="426" t="s">
        <v>284</v>
      </c>
      <c r="B1" s="427"/>
      <c r="C1" s="427"/>
      <c r="D1" s="427"/>
      <c r="E1" s="427"/>
      <c r="F1" s="427"/>
      <c r="G1" s="427"/>
      <c r="H1" s="427"/>
      <c r="I1" s="427"/>
      <c r="J1" s="427"/>
      <c r="K1" s="428"/>
    </row>
    <row r="2" spans="1:12" ht="18" hidden="1" outlineLevel="1">
      <c r="A2" s="121"/>
      <c r="B2" s="127" t="s">
        <v>115</v>
      </c>
      <c r="C2" s="94"/>
      <c r="D2" s="3"/>
      <c r="E2" s="98"/>
      <c r="F2" s="148" t="s">
        <v>377</v>
      </c>
      <c r="G2" s="149"/>
      <c r="H2" s="139"/>
      <c r="I2" s="148" t="s">
        <v>380</v>
      </c>
      <c r="J2" s="140"/>
      <c r="K2" s="150"/>
    </row>
    <row r="3" spans="1:12" ht="18" hidden="1" outlineLevel="1">
      <c r="A3" s="121"/>
      <c r="B3" s="127" t="s">
        <v>74</v>
      </c>
      <c r="C3" s="95" t="e">
        <f>'Revenue Requirement'!#REF!</f>
        <v>#REF!</v>
      </c>
      <c r="D3" s="3"/>
      <c r="E3" s="98"/>
      <c r="F3" s="151" t="s">
        <v>378</v>
      </c>
      <c r="G3" s="152" t="s">
        <v>237</v>
      </c>
      <c r="H3" s="139"/>
      <c r="I3" s="153" t="s">
        <v>241</v>
      </c>
      <c r="J3" s="139"/>
      <c r="K3" s="150"/>
    </row>
    <row r="4" spans="1:12" ht="18" hidden="1" customHeight="1" outlineLevel="1">
      <c r="A4" s="121"/>
      <c r="B4" s="127" t="s">
        <v>10</v>
      </c>
      <c r="C4" s="154"/>
      <c r="D4" s="3"/>
      <c r="E4" s="98"/>
      <c r="F4" s="145" t="str">
        <f>IF('20 Seg Dev'!F4=0," ",'20 Seg Dev'!F4)</f>
        <v xml:space="preserve"> </v>
      </c>
      <c r="G4" s="155" t="s">
        <v>367</v>
      </c>
      <c r="H4" s="139"/>
      <c r="I4" s="156" t="s">
        <v>88</v>
      </c>
      <c r="J4" s="3"/>
      <c r="K4" s="150"/>
    </row>
    <row r="5" spans="1:12" ht="18" hidden="1" customHeight="1" outlineLevel="1">
      <c r="A5" s="121"/>
      <c r="B5" s="128" t="s">
        <v>9</v>
      </c>
      <c r="C5" s="154"/>
      <c r="D5" s="96"/>
      <c r="F5" s="145" t="str">
        <f>IF('20 Seg Dev'!F5=0," ",'20 Seg Dev'!F5)</f>
        <v xml:space="preserve"> </v>
      </c>
      <c r="G5" s="157" t="s">
        <v>369</v>
      </c>
      <c r="H5" s="139"/>
      <c r="I5" s="142" t="s">
        <v>368</v>
      </c>
      <c r="J5" s="96"/>
      <c r="K5" s="150"/>
    </row>
    <row r="6" spans="1:12" ht="15" hidden="1" outlineLevel="1">
      <c r="A6" s="121"/>
      <c r="B6" s="128" t="s">
        <v>364</v>
      </c>
      <c r="C6" s="95"/>
      <c r="D6" s="96"/>
      <c r="E6" s="158"/>
      <c r="F6" s="145" t="str">
        <f>IF('20 Seg Dev'!F6=0," ",'20 Seg Dev'!F6)</f>
        <v xml:space="preserve"> </v>
      </c>
      <c r="G6" s="159" t="s">
        <v>447</v>
      </c>
      <c r="H6" s="139"/>
      <c r="I6" s="160" t="s">
        <v>365</v>
      </c>
      <c r="J6" s="96"/>
      <c r="K6" s="150"/>
    </row>
    <row r="7" spans="1:12" ht="15" hidden="1" outlineLevel="1">
      <c r="A7" s="121"/>
      <c r="B7" s="128" t="s">
        <v>363</v>
      </c>
      <c r="C7" s="95"/>
      <c r="D7" s="96"/>
      <c r="E7" s="158"/>
      <c r="F7" s="145" t="str">
        <f>IF('20 Seg Dev'!F7=0," ",'20 Seg Dev'!F7)</f>
        <v xml:space="preserve"> </v>
      </c>
      <c r="G7" s="97" t="s">
        <v>450</v>
      </c>
      <c r="H7" s="139"/>
      <c r="I7" s="141"/>
      <c r="J7" s="96"/>
      <c r="K7" s="150"/>
    </row>
    <row r="8" spans="1:12" ht="15" hidden="1" outlineLevel="1">
      <c r="A8" s="121"/>
      <c r="B8" s="128" t="s">
        <v>271</v>
      </c>
      <c r="C8" s="161">
        <v>2021</v>
      </c>
      <c r="D8" s="96"/>
      <c r="E8" s="225"/>
      <c r="F8" s="225"/>
      <c r="G8" s="158"/>
      <c r="H8" s="226"/>
      <c r="I8" s="225"/>
      <c r="J8" s="225"/>
      <c r="K8" s="150"/>
    </row>
    <row r="9" spans="1:12" ht="15" hidden="1" outlineLevel="1">
      <c r="A9" s="121"/>
      <c r="B9" s="128"/>
      <c r="C9" s="131"/>
      <c r="D9" s="96"/>
      <c r="E9" s="225"/>
      <c r="F9" s="225"/>
      <c r="G9" s="225"/>
      <c r="H9" s="225"/>
      <c r="I9" s="225"/>
      <c r="J9" s="225"/>
      <c r="K9" s="150"/>
    </row>
    <row r="10" spans="1:12" ht="15" hidden="1" outlineLevel="1">
      <c r="A10" s="422"/>
      <c r="B10" s="423"/>
      <c r="C10" s="143"/>
      <c r="D10" s="116"/>
      <c r="E10" s="116"/>
      <c r="F10" s="116"/>
      <c r="G10" s="96"/>
      <c r="H10" s="96"/>
      <c r="I10" s="96"/>
      <c r="J10" s="96"/>
      <c r="K10" s="117"/>
    </row>
    <row r="11" spans="1:12" ht="15" hidden="1" outlineLevel="1" thickBot="1">
      <c r="A11" s="98"/>
      <c r="B11" s="98"/>
      <c r="C11" s="98"/>
      <c r="D11" s="98"/>
      <c r="E11" s="98"/>
      <c r="F11" s="98"/>
      <c r="G11" s="98"/>
      <c r="H11" s="98"/>
      <c r="I11" s="98"/>
      <c r="J11" s="98"/>
      <c r="K11" s="98"/>
    </row>
    <row r="12" spans="1:12" ht="29.25" customHeight="1" collapsed="1">
      <c r="A12" s="424">
        <f>C8</f>
        <v>2021</v>
      </c>
      <c r="B12" s="425"/>
      <c r="C12" s="425"/>
      <c r="D12" s="162" t="s">
        <v>171</v>
      </c>
      <c r="E12" s="163" t="s">
        <v>172</v>
      </c>
      <c r="F12" s="163" t="s">
        <v>173</v>
      </c>
      <c r="G12" s="163" t="s">
        <v>174</v>
      </c>
      <c r="H12" s="163" t="s">
        <v>175</v>
      </c>
      <c r="I12" s="163" t="s">
        <v>176</v>
      </c>
      <c r="J12" s="163" t="s">
        <v>177</v>
      </c>
      <c r="K12" s="164" t="s">
        <v>178</v>
      </c>
      <c r="L12" s="115"/>
    </row>
    <row r="13" spans="1:12" ht="15">
      <c r="A13" s="166" t="s">
        <v>262</v>
      </c>
      <c r="B13" s="130"/>
      <c r="C13" s="130"/>
      <c r="D13" s="129"/>
      <c r="E13" s="129"/>
      <c r="F13" s="129"/>
      <c r="G13" s="129"/>
      <c r="H13" s="129"/>
      <c r="I13" s="129"/>
      <c r="J13" s="129"/>
      <c r="K13" s="167"/>
      <c r="L13" s="115"/>
    </row>
    <row r="14" spans="1:12" ht="15">
      <c r="A14" s="168" t="s">
        <v>179</v>
      </c>
      <c r="B14" s="169"/>
      <c r="C14" s="169"/>
      <c r="D14" s="170">
        <f>SUM(E14:K14)</f>
        <v>6487209.056644232</v>
      </c>
      <c r="E14" s="107">
        <f>HLOOKUP(E$12,'[1]Seg Inv Base'!$A$12:$Z$999,MATCH($A$12,'[1]Seg Inv Base'!$B$13:$B$661,0)+11,0)</f>
        <v>109747.07933715553</v>
      </c>
      <c r="F14" s="107">
        <f>HLOOKUP(F$12,'[1]Seg Inv Base'!$A$12:$Z$999,MATCH($A$12,'[1]Seg Inv Base'!$B$13:$B$661,0)+11,0)</f>
        <v>5349326.2731750607</v>
      </c>
      <c r="G14" s="107">
        <f>HLOOKUP(G$12,'[1]Seg Inv Base'!$A$12:$Z$999,MATCH($A$12,'[1]Seg Inv Base'!$B$13:$B$661,0)+11,0)</f>
        <v>768438.16023990524</v>
      </c>
      <c r="H14" s="107">
        <f>HLOOKUP(H$12,'[1]Seg Inv Base'!$A$12:$Z$999,MATCH($A$12,'[1]Seg Inv Base'!$B$13:$B$661,0)+11,0)</f>
        <v>89282.273638310784</v>
      </c>
      <c r="I14" s="107">
        <f>HLOOKUP(I$12,'[1]Seg Inv Base'!$A$12:$Z$999,MATCH($A$12,'[1]Seg Inv Base'!$B$13:$B$661,0)+11,0)</f>
        <v>15201.936098261242</v>
      </c>
      <c r="J14" s="107">
        <f>HLOOKUP(J$12,'[1]Seg Inv Base'!$A$12:$Z$999,MATCH($A$12,'[1]Seg Inv Base'!$B$13:$B$661,0)+11,0)</f>
        <v>6550.4749186543831</v>
      </c>
      <c r="K14" s="106">
        <f>HLOOKUP(K$12,'[1]Seg Inv Base'!$A$12:$Z$999,MATCH($A$12,'[1]Seg Inv Base'!$B$13:$B$661,0)+11,0)</f>
        <v>148662.85923688443</v>
      </c>
    </row>
    <row r="15" spans="1:12">
      <c r="A15" s="172" t="s">
        <v>240</v>
      </c>
      <c r="B15" s="173"/>
      <c r="C15" s="173"/>
      <c r="D15" s="174">
        <f>SUM(E15:K15)</f>
        <v>1</v>
      </c>
      <c r="E15" s="175">
        <f>E14/D14</f>
        <v>1.6917456856851566E-2</v>
      </c>
      <c r="F15" s="175">
        <f>F14/D14</f>
        <v>0.8245959435662481</v>
      </c>
      <c r="G15" s="175">
        <f>G14/D14</f>
        <v>0.11845435433483788</v>
      </c>
      <c r="H15" s="175">
        <f>H14/D14</f>
        <v>1.376281739323129E-2</v>
      </c>
      <c r="I15" s="175">
        <f>I14/D14</f>
        <v>2.343370772472847E-3</v>
      </c>
      <c r="J15" s="175">
        <f>J14/D14</f>
        <v>1.0097524006792034E-3</v>
      </c>
      <c r="K15" s="176">
        <f>K14/D14</f>
        <v>2.2916304675679164E-2</v>
      </c>
    </row>
    <row r="16" spans="1:12">
      <c r="A16" s="177" t="s">
        <v>82</v>
      </c>
      <c r="B16" s="173"/>
      <c r="C16" s="173"/>
      <c r="D16" s="99"/>
      <c r="E16" s="99"/>
      <c r="F16" s="99"/>
      <c r="G16" s="99"/>
      <c r="H16" s="99"/>
      <c r="I16" s="99"/>
      <c r="J16" s="99"/>
      <c r="K16" s="100"/>
    </row>
    <row r="17" spans="1:11">
      <c r="A17" s="168"/>
      <c r="B17" s="173" t="s">
        <v>482</v>
      </c>
      <c r="C17" s="173"/>
      <c r="D17" s="170" t="e">
        <f>SUM(E17:K17)</f>
        <v>#N/A</v>
      </c>
      <c r="E17" s="102"/>
      <c r="F17" s="104" t="e">
        <f>HLOOKUP($A$12,'Repayment Inputs'!$B$5:$Z$27,19,FALSE)</f>
        <v>#N/A</v>
      </c>
      <c r="G17" s="227"/>
      <c r="H17" s="102"/>
      <c r="I17" s="102"/>
      <c r="J17" s="102"/>
      <c r="K17" s="101"/>
    </row>
    <row r="18" spans="1:11">
      <c r="A18" s="168"/>
      <c r="B18" s="173" t="s">
        <v>483</v>
      </c>
      <c r="C18" s="173"/>
      <c r="D18" s="170" t="e">
        <f>SUM(E18:K18)</f>
        <v>#N/A</v>
      </c>
      <c r="E18" s="102"/>
      <c r="F18" s="103" t="e">
        <f>-(HLOOKUP($A$12,AFUDC!$I$9:$AJ$34,25,FALSE))</f>
        <v>#N/A</v>
      </c>
      <c r="G18" s="102"/>
      <c r="H18" s="102"/>
      <c r="I18" s="102"/>
      <c r="J18" s="102"/>
      <c r="K18" s="101"/>
    </row>
    <row r="19" spans="1:11">
      <c r="A19" s="168"/>
      <c r="B19" s="173" t="s">
        <v>479</v>
      </c>
      <c r="C19" s="173"/>
      <c r="D19" s="170" t="e">
        <f>SUM(E19:K19)</f>
        <v>#N/A</v>
      </c>
      <c r="E19" s="102"/>
      <c r="F19" s="170" t="e">
        <f>SUM(F17:F18)</f>
        <v>#N/A</v>
      </c>
      <c r="G19" s="102"/>
      <c r="H19" s="102"/>
      <c r="I19" s="102"/>
      <c r="J19" s="102"/>
      <c r="K19" s="101"/>
    </row>
    <row r="20" spans="1:11">
      <c r="A20" s="178" t="s">
        <v>180</v>
      </c>
      <c r="B20" s="173"/>
      <c r="C20" s="173"/>
      <c r="D20" s="105" t="e">
        <f>HLOOKUP($A$12,'Revenue Requirement'!$A$6:$AB$40,25,FALSE)-$D$19</f>
        <v>#N/A</v>
      </c>
      <c r="E20" s="170" t="e">
        <f>D20*E15</f>
        <v>#N/A</v>
      </c>
      <c r="F20" s="170" t="e">
        <f>D20*F15</f>
        <v>#N/A</v>
      </c>
      <c r="G20" s="170" t="e">
        <f>D20*G15</f>
        <v>#N/A</v>
      </c>
      <c r="H20" s="170" t="e">
        <f>D20*H15</f>
        <v>#N/A</v>
      </c>
      <c r="I20" s="170" t="e">
        <f>D20*I15</f>
        <v>#N/A</v>
      </c>
      <c r="J20" s="170" t="e">
        <f>D20*J15</f>
        <v>#N/A</v>
      </c>
      <c r="K20" s="179" t="e">
        <f>D20*K15</f>
        <v>#N/A</v>
      </c>
    </row>
    <row r="21" spans="1:11" ht="15">
      <c r="A21" s="180" t="s">
        <v>181</v>
      </c>
      <c r="B21" s="169"/>
      <c r="C21" s="169"/>
      <c r="D21" s="181" t="e">
        <f>D20+D19</f>
        <v>#N/A</v>
      </c>
      <c r="E21" s="181" t="e">
        <f t="shared" ref="E21:K21" si="0">E20+E19</f>
        <v>#N/A</v>
      </c>
      <c r="F21" s="181" t="e">
        <f t="shared" si="0"/>
        <v>#N/A</v>
      </c>
      <c r="G21" s="181" t="e">
        <f>G20+G19</f>
        <v>#N/A</v>
      </c>
      <c r="H21" s="181" t="e">
        <f>H20+H19</f>
        <v>#N/A</v>
      </c>
      <c r="I21" s="181" t="e">
        <f t="shared" si="0"/>
        <v>#N/A</v>
      </c>
      <c r="J21" s="181" t="e">
        <f t="shared" si="0"/>
        <v>#N/A</v>
      </c>
      <c r="K21" s="182" t="e">
        <f t="shared" si="0"/>
        <v>#N/A</v>
      </c>
    </row>
    <row r="22" spans="1:11">
      <c r="A22" s="177" t="s">
        <v>185</v>
      </c>
      <c r="B22" s="173"/>
      <c r="C22" s="173"/>
      <c r="D22" s="99"/>
      <c r="E22" s="99"/>
      <c r="F22" s="99"/>
      <c r="G22" s="99"/>
      <c r="H22" s="99"/>
      <c r="I22" s="99"/>
      <c r="J22" s="99"/>
      <c r="K22" s="100"/>
    </row>
    <row r="23" spans="1:11">
      <c r="A23" s="168"/>
      <c r="B23" s="173" t="s">
        <v>478</v>
      </c>
      <c r="C23" s="173"/>
      <c r="D23" s="99"/>
      <c r="E23" s="99"/>
      <c r="F23" s="104" t="e">
        <f>HLOOKUP($A$12,'Repayment Inputs'!$A$5:$Z$46,38,FALSE)</f>
        <v>#N/A</v>
      </c>
      <c r="G23" s="227"/>
      <c r="H23" s="99"/>
      <c r="I23" s="99"/>
      <c r="J23" s="99"/>
      <c r="K23" s="100"/>
    </row>
    <row r="24" spans="1:11">
      <c r="A24" s="168"/>
      <c r="B24" s="173" t="s">
        <v>479</v>
      </c>
      <c r="C24" s="173"/>
      <c r="D24" s="99"/>
      <c r="E24" s="99"/>
      <c r="F24" s="183" t="e">
        <f>F19</f>
        <v>#N/A</v>
      </c>
      <c r="G24" s="108"/>
      <c r="H24" s="99"/>
      <c r="I24" s="99"/>
      <c r="J24" s="99"/>
      <c r="K24" s="100"/>
    </row>
    <row r="25" spans="1:11">
      <c r="A25" s="168"/>
      <c r="B25" s="173" t="s">
        <v>480</v>
      </c>
      <c r="C25" s="173"/>
      <c r="D25" s="99"/>
      <c r="E25" s="99"/>
      <c r="F25" s="184">
        <f>SUM(VLOOKUP($A$12,'[1]Customer Funded'!$B$19:$M$60,6,FALSE),VLOOKUP($A$12,'[1]Customer Funded'!$B$19:$M$60,7,FALSE))</f>
        <v>1045.7406715264881</v>
      </c>
      <c r="G25" s="228"/>
      <c r="H25" s="99"/>
      <c r="I25" s="99"/>
      <c r="J25" s="99"/>
      <c r="K25" s="100"/>
    </row>
    <row r="26" spans="1:11">
      <c r="A26" s="168"/>
      <c r="B26" s="173" t="s">
        <v>481</v>
      </c>
      <c r="C26" s="173"/>
      <c r="D26" s="183" t="e">
        <f>F26</f>
        <v>#N/A</v>
      </c>
      <c r="E26" s="99"/>
      <c r="F26" s="183" t="e">
        <f>F23-F24-F25</f>
        <v>#N/A</v>
      </c>
      <c r="G26" s="108"/>
      <c r="H26" s="99"/>
      <c r="I26" s="99"/>
      <c r="J26" s="99"/>
      <c r="K26" s="100"/>
    </row>
    <row r="27" spans="1:11">
      <c r="A27" s="186" t="s">
        <v>463</v>
      </c>
      <c r="B27" s="173"/>
      <c r="C27" s="173"/>
      <c r="D27" s="110" t="e">
        <f>HLOOKUP($A$12,'Revenue Requirement'!$A$6:$AB$36,31,FALSE)-$D$26</f>
        <v>#N/A</v>
      </c>
      <c r="E27" s="170" t="e">
        <f>D27*E15</f>
        <v>#N/A</v>
      </c>
      <c r="F27" s="170" t="e">
        <f>D27*F15</f>
        <v>#N/A</v>
      </c>
      <c r="G27" s="170" t="e">
        <f>D27*G15</f>
        <v>#N/A</v>
      </c>
      <c r="H27" s="170" t="e">
        <f>D27*H15</f>
        <v>#N/A</v>
      </c>
      <c r="I27" s="170" t="e">
        <f>D27*I15</f>
        <v>#N/A</v>
      </c>
      <c r="J27" s="170" t="e">
        <f>D27*J15</f>
        <v>#N/A</v>
      </c>
      <c r="K27" s="179" t="e">
        <f>D27*K15</f>
        <v>#N/A</v>
      </c>
    </row>
    <row r="28" spans="1:11" ht="15">
      <c r="A28" s="180" t="s">
        <v>186</v>
      </c>
      <c r="B28" s="173"/>
      <c r="C28" s="173"/>
      <c r="D28" s="181" t="e">
        <f>D27+D26</f>
        <v>#N/A</v>
      </c>
      <c r="E28" s="181" t="e">
        <f t="shared" ref="E28:K28" si="1">E27+E26</f>
        <v>#N/A</v>
      </c>
      <c r="F28" s="181" t="e">
        <f t="shared" si="1"/>
        <v>#N/A</v>
      </c>
      <c r="G28" s="181" t="e">
        <f>G27+G26</f>
        <v>#N/A</v>
      </c>
      <c r="H28" s="181" t="e">
        <f t="shared" si="1"/>
        <v>#N/A</v>
      </c>
      <c r="I28" s="181" t="e">
        <f t="shared" si="1"/>
        <v>#N/A</v>
      </c>
      <c r="J28" s="181" t="e">
        <f t="shared" si="1"/>
        <v>#N/A</v>
      </c>
      <c r="K28" s="182" t="e">
        <f t="shared" si="1"/>
        <v>#N/A</v>
      </c>
    </row>
    <row r="29" spans="1:11" ht="15">
      <c r="A29" s="177" t="s">
        <v>190</v>
      </c>
      <c r="B29" s="173"/>
      <c r="C29" s="173"/>
      <c r="D29" s="125"/>
      <c r="E29" s="125"/>
      <c r="F29" s="125"/>
      <c r="G29" s="125"/>
      <c r="H29" s="125"/>
      <c r="I29" s="125"/>
      <c r="J29" s="125"/>
      <c r="K29" s="124"/>
    </row>
    <row r="30" spans="1:11">
      <c r="A30" s="187" t="s">
        <v>525</v>
      </c>
      <c r="B30" s="173"/>
      <c r="C30" s="173"/>
      <c r="D30" s="170">
        <f>SUM(E30:K30)</f>
        <v>264975.87042559421</v>
      </c>
      <c r="E30" s="184">
        <f>SUM(VLOOKUP($A$12,'[1]Depr Calc'!$A$14:$AG$30,4,FALSE),VLOOKUP($A$12,'[1]Depr Calc'!$A$36:$AG$52,4,FALSE))</f>
        <v>3392</v>
      </c>
      <c r="F30" s="184">
        <f>SUM(VLOOKUP($A$12,'[1]Depr Calc'!$A$14:$AG$30,8,FALSE),VLOOKUP($A$12,'[1]Depr Calc'!$A$36:$AG$52,8,FALSE),VLOOKUP($A$12,'[1]Depr Calc'!$A$58:$M$74,4,FALSE),VLOOKUP($A$12,'[1]Depr Sum by Asset'!$A$16:$L$36,8,FALSE))</f>
        <v>214541.28419599999</v>
      </c>
      <c r="G30" s="184">
        <f>SUM(VLOOKUP($A$12,'[1]Depr Calc'!$A$14:$AG$30,12,FALSE),VLOOKUP($A$12,'[1]Depr Calc'!$A$36:$AG$52,12,FALSE),VLOOKUP($A$12,'[1]Depr Calc'!$A$58:$M$74,8,FALSE))</f>
        <v>27535</v>
      </c>
      <c r="H30" s="184">
        <f>SUM(VLOOKUP($A$12,'[1]Depr Calc'!$A$14:$AG$30,16,FALSE),VLOOKUP($A$12,'[1]Depr Calc'!$A$36:$AG$52,16,FALSE))</f>
        <v>3332</v>
      </c>
      <c r="I30" s="184">
        <f>SUM(VLOOKUP($A$12,'[1]Depr Calc'!$A$14:$AG$30,20,FALSE),VLOOKUP($A$12,'[1]Depr Calc'!$A$36:$AG$58,20,FALSE))</f>
        <v>437</v>
      </c>
      <c r="J30" s="184">
        <f>SUM(VLOOKUP($A$12,'[1]Depr Calc'!$A$14:$AG$30,24,FALSE),VLOOKUP($A$12,'[1]Depr Calc'!$A$36:$AG$58,24,FALSE))</f>
        <v>187</v>
      </c>
      <c r="K30" s="188">
        <f>VLOOKUP($A$12,'[1]Depr Sum by Asset'!$A$16:$M$36,6,FALSE)</f>
        <v>15551.586229594199</v>
      </c>
    </row>
    <row r="31" spans="1:11">
      <c r="A31" s="187" t="s">
        <v>187</v>
      </c>
      <c r="B31" s="173"/>
      <c r="C31" s="173"/>
      <c r="D31" s="189" t="e">
        <f>SUM(E31:K31)</f>
        <v>#N/A</v>
      </c>
      <c r="E31" s="190" t="e">
        <f>E49/D49</f>
        <v>#N/A</v>
      </c>
      <c r="F31" s="190" t="e">
        <f>F49/D49</f>
        <v>#N/A</v>
      </c>
      <c r="G31" s="190" t="e">
        <f>G49/D49</f>
        <v>#N/A</v>
      </c>
      <c r="H31" s="190" t="e">
        <f>H49/D49</f>
        <v>#N/A</v>
      </c>
      <c r="I31" s="190" t="e">
        <f>I49/D49</f>
        <v>#N/A</v>
      </c>
      <c r="J31" s="190" t="e">
        <f>J49/D49</f>
        <v>#N/A</v>
      </c>
      <c r="K31" s="191" t="e">
        <f>K49/D49</f>
        <v>#N/A</v>
      </c>
    </row>
    <row r="32" spans="1:11">
      <c r="A32" s="187" t="s">
        <v>188</v>
      </c>
      <c r="B32" s="173"/>
      <c r="C32" s="173"/>
      <c r="D32" s="107">
        <f>VLOOKUP($A$12,'[1]GP Depr'!$A$70:$E$91,3,FALSE)</f>
        <v>76266.376369405814</v>
      </c>
      <c r="E32" s="170" t="e">
        <f>D32*E31</f>
        <v>#N/A</v>
      </c>
      <c r="F32" s="170" t="e">
        <f>D32*F31</f>
        <v>#N/A</v>
      </c>
      <c r="G32" s="170" t="e">
        <f>D32*G31</f>
        <v>#N/A</v>
      </c>
      <c r="H32" s="170" t="e">
        <f>D32*H31</f>
        <v>#N/A</v>
      </c>
      <c r="I32" s="170" t="e">
        <f>D32*I31</f>
        <v>#N/A</v>
      </c>
      <c r="J32" s="170" t="e">
        <f>D32*J31</f>
        <v>#N/A</v>
      </c>
      <c r="K32" s="179" t="e">
        <f>D32*K31</f>
        <v>#N/A</v>
      </c>
    </row>
    <row r="33" spans="1:11" ht="15">
      <c r="A33" s="180" t="s">
        <v>189</v>
      </c>
      <c r="B33" s="173"/>
      <c r="C33" s="173"/>
      <c r="D33" s="181" t="e">
        <f>SUM(E33:K33)</f>
        <v>#N/A</v>
      </c>
      <c r="E33" s="181" t="e">
        <f t="shared" ref="E33:K33" si="2">E32+E30</f>
        <v>#N/A</v>
      </c>
      <c r="F33" s="181" t="e">
        <f>F32+F30</f>
        <v>#N/A</v>
      </c>
      <c r="G33" s="181" t="e">
        <f>G32+G30</f>
        <v>#N/A</v>
      </c>
      <c r="H33" s="181" t="e">
        <f t="shared" si="2"/>
        <v>#N/A</v>
      </c>
      <c r="I33" s="181" t="e">
        <f t="shared" si="2"/>
        <v>#N/A</v>
      </c>
      <c r="J33" s="181" t="e">
        <f t="shared" si="2"/>
        <v>#N/A</v>
      </c>
      <c r="K33" s="182" t="e">
        <f t="shared" si="2"/>
        <v>#N/A</v>
      </c>
    </row>
    <row r="34" spans="1:11" ht="9" customHeight="1">
      <c r="A34" s="168"/>
      <c r="B34" s="173"/>
      <c r="C34" s="173"/>
      <c r="D34" s="99"/>
      <c r="E34" s="99"/>
      <c r="F34" s="99"/>
      <c r="G34" s="99"/>
      <c r="H34" s="99"/>
      <c r="I34" s="99"/>
      <c r="J34" s="99"/>
      <c r="K34" s="100"/>
    </row>
    <row r="35" spans="1:11" ht="15">
      <c r="A35" s="166" t="s">
        <v>239</v>
      </c>
      <c r="B35" s="173"/>
      <c r="C35" s="173"/>
      <c r="D35" s="99"/>
      <c r="E35" s="99"/>
      <c r="F35" s="99"/>
      <c r="G35" s="99"/>
      <c r="H35" s="99"/>
      <c r="I35" s="99"/>
      <c r="J35" s="99"/>
      <c r="K35" s="100"/>
    </row>
    <row r="36" spans="1:11">
      <c r="A36" s="192" t="s">
        <v>499</v>
      </c>
      <c r="B36" s="173"/>
      <c r="C36" s="173"/>
      <c r="D36" s="99"/>
      <c r="E36" s="99"/>
      <c r="F36" s="99"/>
      <c r="G36" s="99"/>
      <c r="H36" s="99"/>
      <c r="I36" s="99"/>
      <c r="J36" s="99"/>
      <c r="K36" s="100"/>
    </row>
    <row r="37" spans="1:11">
      <c r="A37" s="193" t="s">
        <v>286</v>
      </c>
      <c r="B37" s="173"/>
      <c r="C37" s="173"/>
      <c r="D37" s="194">
        <f>SUM(E37:J37)</f>
        <v>53823.005644218851</v>
      </c>
      <c r="E37" s="195">
        <f>'[2]T4.1 - OperMaint'!$D$24/1000</f>
        <v>618.34147943144103</v>
      </c>
      <c r="F37" s="195">
        <f>'[2]T4.1 - OperMaint'!$E$24/1000</f>
        <v>48832.749636183224</v>
      </c>
      <c r="G37" s="195">
        <f>'[2]T4.1 - OperMaint'!$F$24/1000</f>
        <v>2251.9919741894219</v>
      </c>
      <c r="H37" s="195">
        <f>'[2]T4.1 - OperMaint'!$G$24/1000</f>
        <v>2106.6816600118982</v>
      </c>
      <c r="I37" s="195">
        <f>'[2]T4.1 - OperMaint'!$H$24/1000</f>
        <v>13.240894402875242</v>
      </c>
      <c r="J37" s="195">
        <f>'[2]T4.1 - OperMaint'!$I$24/1000</f>
        <v>0</v>
      </c>
      <c r="K37" s="100"/>
    </row>
    <row r="38" spans="1:11">
      <c r="A38" s="193" t="s">
        <v>287</v>
      </c>
      <c r="B38" s="173"/>
      <c r="C38" s="173"/>
      <c r="D38" s="194">
        <f>SUM(E38:J38)</f>
        <v>132737.47345136068</v>
      </c>
      <c r="E38" s="195">
        <f>'[2]T4.1 - OperMaint'!$D$17/1000</f>
        <v>3338.1230956561526</v>
      </c>
      <c r="F38" s="195">
        <f>'[2]T4.1 - OperMaint'!$E$17/1000</f>
        <v>108435.56239276817</v>
      </c>
      <c r="G38" s="195">
        <f>'[2]T4.1 - OperMaint'!$F$17/1000</f>
        <v>18653.483372581512</v>
      </c>
      <c r="H38" s="195">
        <f>'[2]T4.1 - OperMaint'!$G$17/1000</f>
        <v>791.08340744031898</v>
      </c>
      <c r="I38" s="195">
        <f>'[2]T4.1 - OperMaint'!$H$17/1000</f>
        <v>1117.8722943054693</v>
      </c>
      <c r="J38" s="195">
        <f>'[2]T4.1 - OperMaint'!$I$17/1000</f>
        <v>401.34888860906045</v>
      </c>
      <c r="K38" s="100"/>
    </row>
    <row r="39" spans="1:11" ht="15">
      <c r="A39" s="196" t="s">
        <v>288</v>
      </c>
      <c r="B39" s="169"/>
      <c r="C39" s="169"/>
      <c r="D39" s="194">
        <f>SUM(D37:D38)</f>
        <v>186560.47909557953</v>
      </c>
      <c r="E39" s="99"/>
      <c r="F39" s="99"/>
      <c r="G39" s="99"/>
      <c r="H39" s="99"/>
      <c r="I39" s="99"/>
      <c r="J39" s="99"/>
      <c r="K39" s="100"/>
    </row>
    <row r="40" spans="1:11">
      <c r="A40" s="197" t="s">
        <v>242</v>
      </c>
      <c r="B40" s="173"/>
      <c r="C40" s="173"/>
      <c r="D40" s="99"/>
      <c r="E40" s="99"/>
      <c r="F40" s="99"/>
      <c r="G40" s="99"/>
      <c r="H40" s="99"/>
      <c r="I40" s="99"/>
      <c r="J40" s="99"/>
      <c r="K40" s="100"/>
    </row>
    <row r="41" spans="1:11">
      <c r="A41" s="186" t="s">
        <v>243</v>
      </c>
      <c r="B41" s="173"/>
      <c r="C41" s="173"/>
      <c r="D41" s="198" t="e">
        <f>SUM((HLOOKUP($A$12,'Expense Input File'!$B$27:$G$59,3,FALSE)),(HLOOKUP($A$12,'Expense Input File'!$B$27:$G$59,4,FALSE)),(HLOOKUP($A$12,'Expense Input File'!$B$27:$G$59,5,FALSE)), (HLOOKUP($A$12,'Expense Input File'!$B$27:$G$59,6,FALSE)),(HLOOKUP($A$12,'Expense Input File'!$B$27:$G$59,7,FALSE)))-$K$41</f>
        <v>#N/A</v>
      </c>
      <c r="E41" s="99"/>
      <c r="F41" s="198" t="e">
        <f>(HLOOKUP($A$12,'Expense Input File'!$A$27:$G$59,33,FALSE))</f>
        <v>#N/A</v>
      </c>
      <c r="G41" s="99"/>
      <c r="H41" s="99"/>
      <c r="I41" s="99"/>
      <c r="J41" s="99"/>
      <c r="K41" s="199" t="e">
        <f>SUM((HLOOKUP($A$12,'Expense Input File'!$B$27:$G$59,3,FALSE)),(HLOOKUP($A$12,'Expense Input File'!$B$27:$G$59,4,FALSE)),(HLOOKUP($A$12,'Expense Input File'!$B$27:$G$59,5,FALSE)), (HLOOKUP($A$12,'Expense Input File'!$B$27:$G$59,6,FALSE)))-(HLOOKUP($A$12,'Expense Input File'!$A$27:$G$59,8,FALSE))</f>
        <v>#N/A</v>
      </c>
    </row>
    <row r="42" spans="1:11">
      <c r="A42" s="186" t="s">
        <v>244</v>
      </c>
      <c r="B42" s="173"/>
      <c r="C42" s="173"/>
      <c r="D42" s="198" t="e">
        <f>HLOOKUP($A$12,'Expense Input File'!$B$14:$G$24,4,FALSE)</f>
        <v>#N/A</v>
      </c>
      <c r="E42" s="99"/>
      <c r="F42" s="99"/>
      <c r="G42" s="99"/>
      <c r="H42" s="99"/>
      <c r="I42" s="99"/>
      <c r="J42" s="99"/>
      <c r="K42" s="100"/>
    </row>
    <row r="43" spans="1:11" ht="5.25" customHeight="1">
      <c r="A43" s="186"/>
      <c r="B43" s="173"/>
      <c r="C43" s="173"/>
      <c r="D43" s="102"/>
      <c r="E43" s="99"/>
      <c r="F43" s="99"/>
      <c r="G43" s="99"/>
      <c r="H43" s="99"/>
      <c r="I43" s="99"/>
      <c r="J43" s="99"/>
      <c r="K43" s="100"/>
    </row>
    <row r="44" spans="1:11">
      <c r="A44" s="200" t="s">
        <v>256</v>
      </c>
      <c r="B44" s="173"/>
      <c r="C44" s="173"/>
      <c r="D44" s="183" t="e">
        <f>SUM(D41:D42)</f>
        <v>#N/A</v>
      </c>
      <c r="E44" s="99"/>
      <c r="F44" s="99"/>
      <c r="G44" s="99"/>
      <c r="H44" s="99"/>
      <c r="I44" s="99"/>
      <c r="J44" s="99"/>
      <c r="K44" s="100"/>
    </row>
    <row r="45" spans="1:11">
      <c r="A45" s="201" t="s">
        <v>257</v>
      </c>
      <c r="B45" s="173"/>
      <c r="C45" s="173"/>
      <c r="D45" s="183" t="e">
        <f>D44-D46</f>
        <v>#N/A</v>
      </c>
      <c r="E45" s="229" t="e">
        <f>(E37/D37)*D45</f>
        <v>#N/A</v>
      </c>
      <c r="F45" s="183" t="e">
        <f>(F37/D37)*D45</f>
        <v>#N/A</v>
      </c>
      <c r="G45" s="183" t="e">
        <f>(G37/D37)*D45</f>
        <v>#N/A</v>
      </c>
      <c r="H45" s="183" t="e">
        <f>(H37/D37)*D45</f>
        <v>#N/A</v>
      </c>
      <c r="I45" s="183" t="e">
        <f>(I37/D37)*D45</f>
        <v>#N/A</v>
      </c>
      <c r="J45" s="183" t="e">
        <f>(J37/D37)*D45</f>
        <v>#N/A</v>
      </c>
      <c r="K45" s="100"/>
    </row>
    <row r="46" spans="1:11">
      <c r="A46" s="201" t="s">
        <v>259</v>
      </c>
      <c r="B46" s="173"/>
      <c r="C46" s="173"/>
      <c r="D46" s="170" t="e">
        <f>((D38/D39)*D44)</f>
        <v>#N/A</v>
      </c>
      <c r="E46" s="229" t="e">
        <f>(E38/D38)*D46</f>
        <v>#N/A</v>
      </c>
      <c r="F46" s="183" t="e">
        <f>(F38/D38)*D46</f>
        <v>#N/A</v>
      </c>
      <c r="G46" s="183" t="e">
        <f>(G38/D38)*D46</f>
        <v>#N/A</v>
      </c>
      <c r="H46" s="183" t="e">
        <f>(H38/D38)*D46</f>
        <v>#N/A</v>
      </c>
      <c r="I46" s="183" t="e">
        <f>(I38/D38)*D46</f>
        <v>#N/A</v>
      </c>
      <c r="J46" s="183" t="e">
        <f>(J38/D38)*D46</f>
        <v>#N/A</v>
      </c>
      <c r="K46" s="100"/>
    </row>
    <row r="47" spans="1:11" ht="15">
      <c r="A47" s="203" t="s">
        <v>258</v>
      </c>
      <c r="B47" s="169"/>
      <c r="C47" s="169"/>
      <c r="D47" s="183" t="e">
        <f>SUM(E47:J47)</f>
        <v>#N/A</v>
      </c>
      <c r="E47" s="183" t="e">
        <f t="shared" ref="E47:J47" si="3">SUM(E45:E46)</f>
        <v>#N/A</v>
      </c>
      <c r="F47" s="183" t="e">
        <f t="shared" si="3"/>
        <v>#N/A</v>
      </c>
      <c r="G47" s="183" t="e">
        <f t="shared" si="3"/>
        <v>#N/A</v>
      </c>
      <c r="H47" s="183" t="e">
        <f t="shared" si="3"/>
        <v>#N/A</v>
      </c>
      <c r="I47" s="183" t="e">
        <f t="shared" si="3"/>
        <v>#N/A</v>
      </c>
      <c r="J47" s="183" t="e">
        <f t="shared" si="3"/>
        <v>#N/A</v>
      </c>
      <c r="K47" s="100"/>
    </row>
    <row r="48" spans="1:11">
      <c r="A48" s="204" t="s">
        <v>25</v>
      </c>
      <c r="B48" s="173"/>
      <c r="C48" s="173"/>
      <c r="D48" s="205" t="e">
        <f>K48</f>
        <v>#N/A</v>
      </c>
      <c r="E48" s="122"/>
      <c r="F48" s="122"/>
      <c r="G48" s="122"/>
      <c r="H48" s="122"/>
      <c r="I48" s="122"/>
      <c r="J48" s="122"/>
      <c r="K48" s="206" t="e">
        <f>SUM((HLOOKUP($A$12,'Expense Input File'!$A$27:$G$59,24,FALSE)),(HLOOKUP($A$12,'Expense Input File'!$A$27:$G$59,25,FALSE)),(HLOOKUP($A$12,'Expense Input File'!$A$27:$G$59,26,FALSE)),(HLOOKUP($A$12,'Expense Input File'!$A$27:$G$59,27,FALSE)),(HLOOKUP($A$12,'Expense Input File'!$A$27:$G$59,28,FALSE)))</f>
        <v>#N/A</v>
      </c>
    </row>
    <row r="49" spans="1:12" ht="15">
      <c r="A49" s="207" t="s">
        <v>260</v>
      </c>
      <c r="B49" s="169"/>
      <c r="C49" s="169"/>
      <c r="D49" s="181" t="e">
        <f>SUM(E49:K49)</f>
        <v>#N/A</v>
      </c>
      <c r="E49" s="181" t="e">
        <f t="shared" ref="E49:J49" si="4">E47</f>
        <v>#N/A</v>
      </c>
      <c r="F49" s="181" t="e">
        <f>F47+F41</f>
        <v>#N/A</v>
      </c>
      <c r="G49" s="181" t="e">
        <f t="shared" si="4"/>
        <v>#N/A</v>
      </c>
      <c r="H49" s="181" t="e">
        <f t="shared" si="4"/>
        <v>#N/A</v>
      </c>
      <c r="I49" s="181" t="e">
        <f t="shared" si="4"/>
        <v>#N/A</v>
      </c>
      <c r="J49" s="181" t="e">
        <f t="shared" si="4"/>
        <v>#N/A</v>
      </c>
      <c r="K49" s="182" t="e">
        <f>K48+K41</f>
        <v>#N/A</v>
      </c>
    </row>
    <row r="50" spans="1:12">
      <c r="A50" s="197" t="s">
        <v>261</v>
      </c>
      <c r="B50" s="173"/>
      <c r="C50" s="173"/>
      <c r="D50" s="99"/>
      <c r="E50" s="99"/>
      <c r="F50" s="99"/>
      <c r="G50" s="99"/>
      <c r="H50" s="99"/>
      <c r="I50" s="99"/>
      <c r="J50" s="99"/>
      <c r="K50" s="100"/>
    </row>
    <row r="51" spans="1:12">
      <c r="A51" s="208" t="s">
        <v>47</v>
      </c>
      <c r="B51" s="173"/>
      <c r="C51" s="173"/>
      <c r="D51" s="198" t="e">
        <f>SUM((HLOOKUP($A$12,'Expense Input File'!$A$27:$G$59,10,FALSE)),(HLOOKUP($A$12,'Expense Input File'!$A$27:$G$59,11,FALSE)),(HLOOKUP($A$12,'Expense Input File'!$A$27:$G$59,12,FALSE)),(HLOOKUP($A$12,'Expense Input File'!$A$27:$G$59,13,FALSE)))</f>
        <v>#N/A</v>
      </c>
      <c r="E51" s="170" t="e">
        <f>(E49/D49)*D51</f>
        <v>#N/A</v>
      </c>
      <c r="F51" s="170" t="e">
        <f>(F49/D49)*D51</f>
        <v>#N/A</v>
      </c>
      <c r="G51" s="170" t="e">
        <f>(G49/D49)*D51</f>
        <v>#N/A</v>
      </c>
      <c r="H51" s="170" t="e">
        <f>(H49/D49)*D51</f>
        <v>#N/A</v>
      </c>
      <c r="I51" s="170" t="e">
        <f>(I49/D49)*D51</f>
        <v>#N/A</v>
      </c>
      <c r="J51" s="170" t="e">
        <f>(J49/D49)*D51</f>
        <v>#N/A</v>
      </c>
      <c r="K51" s="179" t="e">
        <f>(K49/D49)*D51</f>
        <v>#N/A</v>
      </c>
    </row>
    <row r="52" spans="1:12">
      <c r="A52" s="208" t="s">
        <v>48</v>
      </c>
      <c r="B52" s="173"/>
      <c r="C52" s="173"/>
      <c r="D52" s="198" t="e">
        <f>SUM((HLOOKUP($A$12,'Expense Input File'!$A$27:$G$59,14,FALSE)),(HLOOKUP($A$12,'Expense Input File'!$A$27:$G$59,16,FALSE)),(HLOOKUP($A$12,'Expense Input File'!$A$27:$G$59,17,FALSE)),(HLOOKUP($A$12,'Expense Input File'!$A$27:$G$59,18,FALSE)),(HLOOKUP($A$12,'Expense Input File'!$A$27:$G$59,19,FALSE)),(HLOOKUP($A$12,'Expense Input File'!$A$27:$G$59,20,FALSE)),(HLOOKUP($A$12,'Expense Input File'!$A$27:$G$59,21,FALSE)),(HLOOKUP($A$12,'Expense Input File'!$A$27:$G$59,30,FALSE)),(HLOOKUP($A$12,'Expense Input File'!$A$27:$G$59,31,FALSE)),(HLOOKUP($A$12,'Expense Input File'!$A$27:$G$59,32,FALSE)))</f>
        <v>#N/A</v>
      </c>
      <c r="E52" s="170" t="e">
        <f>(E49/D49)*D52</f>
        <v>#N/A</v>
      </c>
      <c r="F52" s="170" t="e">
        <f>(F49/D49)*D52</f>
        <v>#N/A</v>
      </c>
      <c r="G52" s="170" t="e">
        <f>(G49/D49)*D52</f>
        <v>#N/A</v>
      </c>
      <c r="H52" s="170" t="e">
        <f>(H49/D49)*D52</f>
        <v>#N/A</v>
      </c>
      <c r="I52" s="170" t="e">
        <f>(I49/D49)*D52</f>
        <v>#N/A</v>
      </c>
      <c r="J52" s="170" t="e">
        <f>(J49/D49)*D52</f>
        <v>#N/A</v>
      </c>
      <c r="K52" s="179" t="e">
        <f>(K49/D49)*D52</f>
        <v>#N/A</v>
      </c>
    </row>
    <row r="53" spans="1:12">
      <c r="A53" s="208" t="s">
        <v>263</v>
      </c>
      <c r="B53" s="173"/>
      <c r="C53" s="173"/>
      <c r="D53" s="198" t="e">
        <f>HLOOKUP($A$12,'Expense Input File'!$B$14:$G$24,3,FALSE)</f>
        <v>#N/A</v>
      </c>
      <c r="E53" s="198" t="e">
        <f>(E49/D49)*(D53-(HLOOKUP($A$12,'Expense Input File'!$A$14:$G$24,10,FALSE)))</f>
        <v>#N/A</v>
      </c>
      <c r="F53" s="107" t="e">
        <f>(F49/D49)*(D53-(HLOOKUP($A$12,'Expense Input File'!$A$14:$G$24,10,FALSE)))</f>
        <v>#N/A</v>
      </c>
      <c r="G53" s="198" t="e">
        <f>(G49/D49)*(D53-(HLOOKUP($A$12,'Expense Input File'!$A$14:$G$24,10,FALSE)))</f>
        <v>#N/A</v>
      </c>
      <c r="H53" s="198" t="e">
        <f>(H49/D49)*(D53-(HLOOKUP($A$12,'Expense Input File'!$A$14:$G$24,10,FALSE)))</f>
        <v>#N/A</v>
      </c>
      <c r="I53" s="198" t="e">
        <f>(I49/D49)*(D53-(HLOOKUP($A$12,'Expense Input File'!$A$14:$G$24,10,FALSE)))</f>
        <v>#N/A</v>
      </c>
      <c r="J53" s="198" t="e">
        <f>(J49/D49)*(D53-(HLOOKUP($A$12,'Expense Input File'!$A$14:$G$24,10,FALSE)))</f>
        <v>#N/A</v>
      </c>
      <c r="K53" s="199" t="e">
        <f>((K49/D49)*(D53-(HLOOKUP($A$12,'Expense Input File'!$A$14:$G$24,10,FALSE))))+(HLOOKUP($A$12,'Expense Input File'!$A$14:$G$24,10,FALSE))</f>
        <v>#N/A</v>
      </c>
    </row>
    <row r="54" spans="1:12">
      <c r="A54" s="208" t="s">
        <v>281</v>
      </c>
      <c r="B54" s="173"/>
      <c r="C54" s="173"/>
      <c r="D54" s="209" t="e">
        <f>SUM((HLOOKUP($A$12,'Expense Input File'!$A$14:$G$24,7,FALSE)),(HLOOKUP($A$12,'Expense Input File'!$A$14:$G$24,8,FALSE)))</f>
        <v>#N/A</v>
      </c>
      <c r="E54" s="210" t="e">
        <f>(E49/D49)*D54</f>
        <v>#N/A</v>
      </c>
      <c r="F54" s="210" t="e">
        <f>(F49/D49)*D54</f>
        <v>#N/A</v>
      </c>
      <c r="G54" s="210" t="e">
        <f>(G49/D49)*D54</f>
        <v>#N/A</v>
      </c>
      <c r="H54" s="210" t="e">
        <f>(H49/D49)*D54</f>
        <v>#N/A</v>
      </c>
      <c r="I54" s="210" t="e">
        <f>(I49/D49)*D54</f>
        <v>#N/A</v>
      </c>
      <c r="J54" s="210" t="e">
        <f>(J49/D49)*D54</f>
        <v>#N/A</v>
      </c>
      <c r="K54" s="211" t="e">
        <f>(K49/D49)*D54</f>
        <v>#N/A</v>
      </c>
    </row>
    <row r="55" spans="1:12" ht="15">
      <c r="A55" s="212" t="s">
        <v>279</v>
      </c>
      <c r="B55" s="173"/>
      <c r="C55" s="173"/>
      <c r="D55" s="181" t="e">
        <f>SUM(D51:D54)</f>
        <v>#N/A</v>
      </c>
      <c r="E55" s="181" t="e">
        <f t="shared" ref="E55:J55" si="5">SUM(E51:E54)</f>
        <v>#N/A</v>
      </c>
      <c r="F55" s="181" t="e">
        <f t="shared" si="5"/>
        <v>#N/A</v>
      </c>
      <c r="G55" s="181" t="e">
        <f t="shared" si="5"/>
        <v>#N/A</v>
      </c>
      <c r="H55" s="181" t="e">
        <f t="shared" si="5"/>
        <v>#N/A</v>
      </c>
      <c r="I55" s="181" t="e">
        <f t="shared" si="5"/>
        <v>#N/A</v>
      </c>
      <c r="J55" s="181" t="e">
        <f t="shared" si="5"/>
        <v>#N/A</v>
      </c>
      <c r="K55" s="182" t="e">
        <f>SUM(K51:K54)</f>
        <v>#N/A</v>
      </c>
      <c r="L55" s="223"/>
    </row>
    <row r="56" spans="1:12" ht="15">
      <c r="A56" s="166" t="s">
        <v>252</v>
      </c>
      <c r="B56" s="173"/>
      <c r="C56" s="173"/>
      <c r="D56" s="181" t="e">
        <f t="shared" ref="D56:K56" si="6">D55+D49</f>
        <v>#N/A</v>
      </c>
      <c r="E56" s="181" t="e">
        <f t="shared" si="6"/>
        <v>#N/A</v>
      </c>
      <c r="F56" s="181" t="e">
        <f t="shared" si="6"/>
        <v>#N/A</v>
      </c>
      <c r="G56" s="181" t="e">
        <f t="shared" si="6"/>
        <v>#N/A</v>
      </c>
      <c r="H56" s="181" t="e">
        <f t="shared" si="6"/>
        <v>#N/A</v>
      </c>
      <c r="I56" s="181" t="e">
        <f t="shared" si="6"/>
        <v>#N/A</v>
      </c>
      <c r="J56" s="181" t="e">
        <f t="shared" si="6"/>
        <v>#N/A</v>
      </c>
      <c r="K56" s="182" t="e">
        <f t="shared" si="6"/>
        <v>#N/A</v>
      </c>
    </row>
    <row r="57" spans="1:12">
      <c r="A57" s="213" t="s">
        <v>178</v>
      </c>
      <c r="B57" s="173"/>
      <c r="C57" s="173"/>
      <c r="D57" s="99"/>
      <c r="E57" s="99"/>
      <c r="F57" s="99"/>
      <c r="G57" s="99"/>
      <c r="H57" s="99"/>
      <c r="I57" s="99"/>
      <c r="J57" s="99"/>
      <c r="K57" s="100"/>
    </row>
    <row r="58" spans="1:12">
      <c r="A58" s="186" t="s">
        <v>268</v>
      </c>
      <c r="B58" s="173"/>
      <c r="C58" s="173"/>
      <c r="D58" s="102"/>
      <c r="E58" s="99"/>
      <c r="F58" s="99"/>
      <c r="G58" s="99"/>
      <c r="H58" s="99"/>
      <c r="I58" s="99"/>
      <c r="J58" s="99"/>
      <c r="K58" s="100"/>
    </row>
    <row r="59" spans="1:12" ht="15">
      <c r="A59" s="186" t="s">
        <v>266</v>
      </c>
      <c r="B59" s="173"/>
      <c r="C59" s="173"/>
      <c r="D59" s="198" t="e">
        <f>(HLOOKUP($A$12,'Expense Input File'!$A$27:$G$80,37,FALSE))</f>
        <v>#N/A</v>
      </c>
      <c r="E59" s="102"/>
      <c r="F59" s="214" t="e">
        <f>$D$59*'[3]Corps Rec Transmission'!$O$3</f>
        <v>#N/A</v>
      </c>
      <c r="G59" s="102"/>
      <c r="H59" s="102"/>
      <c r="I59" s="214" t="e">
        <f>$D$59*'[3]Corps Rec Transmission'!$O$4</f>
        <v>#N/A</v>
      </c>
      <c r="J59" s="102"/>
      <c r="K59" s="100"/>
    </row>
    <row r="60" spans="1:12">
      <c r="A60" s="186" t="s">
        <v>267</v>
      </c>
      <c r="B60" s="173"/>
      <c r="C60" s="173"/>
      <c r="D60" s="198" t="e">
        <f>(HLOOKUP($A$12,'Expense Input File'!$A$27:$G$80,38,FALSE))</f>
        <v>#N/A</v>
      </c>
      <c r="E60" s="102"/>
      <c r="F60" s="133"/>
      <c r="G60" s="183" t="e">
        <f>D60</f>
        <v>#N/A</v>
      </c>
      <c r="H60" s="99"/>
      <c r="I60" s="99"/>
      <c r="J60" s="99"/>
      <c r="K60" s="100"/>
    </row>
    <row r="61" spans="1:12">
      <c r="A61" s="186" t="s">
        <v>265</v>
      </c>
      <c r="B61" s="173"/>
      <c r="C61" s="173"/>
      <c r="D61" s="198" t="e">
        <f>(HLOOKUP($A$12,'Expense Input File'!$A$27:$G$80,41,FALSE))</f>
        <v>#N/A</v>
      </c>
      <c r="E61" s="102"/>
      <c r="F61" s="183" t="e">
        <f>D61</f>
        <v>#N/A</v>
      </c>
      <c r="G61" s="133"/>
      <c r="H61" s="99"/>
      <c r="I61" s="99"/>
      <c r="J61" s="99"/>
      <c r="K61" s="100"/>
    </row>
    <row r="62" spans="1:12" ht="15">
      <c r="A62" s="186" t="s">
        <v>451</v>
      </c>
      <c r="B62" s="173"/>
      <c r="C62" s="173"/>
      <c r="D62" s="198" t="e">
        <f>(HLOOKUP($A$12,'Expense Input File'!$A$27:$G$80,39,FALSE))</f>
        <v>#N/A</v>
      </c>
      <c r="E62" s="102"/>
      <c r="F62" s="216" t="e">
        <f>$D$62*'[4]BP-20-E-BPA-05A Table X.3'!$G$7</f>
        <v>#N/A</v>
      </c>
      <c r="G62" s="216" t="e">
        <f>$D$62*'[4]BP-20-E-BPA-05A Table X.3'!$G$6</f>
        <v>#N/A</v>
      </c>
      <c r="H62" s="99"/>
      <c r="I62" s="99"/>
      <c r="J62" s="99"/>
      <c r="K62" s="100"/>
    </row>
    <row r="63" spans="1:12">
      <c r="A63" s="186" t="s">
        <v>264</v>
      </c>
      <c r="B63" s="173"/>
      <c r="C63" s="173"/>
      <c r="D63" s="198" t="e">
        <f>HLOOKUP($A$12,'Expense Input File'!$B$27:$G$80,42,FALSE)</f>
        <v>#N/A</v>
      </c>
      <c r="E63" s="170" t="e">
        <f>(E38/D38)*D63</f>
        <v>#N/A</v>
      </c>
      <c r="F63" s="170" t="e">
        <f>(F38/D38)*D63</f>
        <v>#N/A</v>
      </c>
      <c r="G63" s="170" t="e">
        <f>(G38/D38)*D63</f>
        <v>#N/A</v>
      </c>
      <c r="H63" s="170" t="e">
        <f>(H38/D38)*D63</f>
        <v>#N/A</v>
      </c>
      <c r="I63" s="170" t="e">
        <f>(I38/D38)*D63</f>
        <v>#N/A</v>
      </c>
      <c r="J63" s="170" t="e">
        <f>(J38/D38)*D63</f>
        <v>#N/A</v>
      </c>
      <c r="K63" s="100"/>
    </row>
    <row r="64" spans="1:12" ht="15">
      <c r="A64" s="186" t="s">
        <v>253</v>
      </c>
      <c r="B64" s="169"/>
      <c r="C64" s="173"/>
      <c r="D64" s="217" t="e">
        <f>K64</f>
        <v>#N/A</v>
      </c>
      <c r="E64" s="123"/>
      <c r="F64" s="122"/>
      <c r="G64" s="122"/>
      <c r="H64" s="122"/>
      <c r="I64" s="122"/>
      <c r="J64" s="122"/>
      <c r="K64" s="206" t="e">
        <f>HLOOKUP($A$12,'Expense Input File'!$A$27:$G$80,35,FALSE)</f>
        <v>#N/A</v>
      </c>
    </row>
    <row r="65" spans="1:11" ht="15">
      <c r="A65" s="180" t="s">
        <v>277</v>
      </c>
      <c r="B65" s="173"/>
      <c r="C65" s="173"/>
      <c r="D65" s="218" t="e">
        <f>SUM(D59:D64)</f>
        <v>#N/A</v>
      </c>
      <c r="E65" s="218" t="e">
        <f t="shared" ref="E65:K65" si="7">SUM(E59:E64)</f>
        <v>#N/A</v>
      </c>
      <c r="F65" s="218" t="e">
        <f t="shared" si="7"/>
        <v>#N/A</v>
      </c>
      <c r="G65" s="218" t="e">
        <f t="shared" si="7"/>
        <v>#N/A</v>
      </c>
      <c r="H65" s="218" t="e">
        <f t="shared" si="7"/>
        <v>#N/A</v>
      </c>
      <c r="I65" s="218" t="e">
        <f t="shared" si="7"/>
        <v>#N/A</v>
      </c>
      <c r="J65" s="218" t="e">
        <f t="shared" si="7"/>
        <v>#N/A</v>
      </c>
      <c r="K65" s="219" t="e">
        <f t="shared" si="7"/>
        <v>#N/A</v>
      </c>
    </row>
    <row r="66" spans="1:11">
      <c r="A66" s="186" t="s">
        <v>269</v>
      </c>
      <c r="B66" s="173"/>
      <c r="C66" s="173"/>
      <c r="D66" s="99"/>
      <c r="E66" s="102"/>
      <c r="F66" s="99"/>
      <c r="G66" s="99"/>
      <c r="H66" s="99"/>
      <c r="I66" s="99"/>
      <c r="J66" s="99"/>
      <c r="K66" s="100"/>
    </row>
    <row r="67" spans="1:11">
      <c r="A67" s="186" t="s">
        <v>43</v>
      </c>
      <c r="B67" s="173"/>
      <c r="C67" s="173"/>
      <c r="D67" s="170" t="e">
        <f>SUM(E67:K67)</f>
        <v>#N/A</v>
      </c>
      <c r="E67" s="198" t="e">
        <f>(HLOOKUP($A$12,'Expense Input File'!$B$60:$G$82,22,FALSE))*E15</f>
        <v>#N/A</v>
      </c>
      <c r="F67" s="198" t="e">
        <f>(HLOOKUP($A$12,'Expense Input File'!$B$60:$G$82,22,FALSE))*F15</f>
        <v>#N/A</v>
      </c>
      <c r="G67" s="198" t="e">
        <f>(HLOOKUP($A$12,'Expense Input File'!$B$60:$G$82,22,FALSE))*G15</f>
        <v>#N/A</v>
      </c>
      <c r="H67" s="198" t="e">
        <f>(HLOOKUP($A$12,'Expense Input File'!$B$60:$G$82,22,FALSE))*H15</f>
        <v>#N/A</v>
      </c>
      <c r="I67" s="198" t="e">
        <f>(HLOOKUP($A$12,'Expense Input File'!$B$60:$G$82,22,FALSE))*I15</f>
        <v>#N/A</v>
      </c>
      <c r="J67" s="198" t="e">
        <f>(HLOOKUP($A$12,'Expense Input File'!$B$60:$G$82,22,FALSE))*J15</f>
        <v>#N/A</v>
      </c>
      <c r="K67" s="199" t="e">
        <f>((HLOOKUP($A$12,'Expense Input File'!$B$60:$G$82,22,FALSE))*K15)+(HLOOKUP($A$12,'Expense Input File'!$B$60:$G$82,23,FALSE))</f>
        <v>#N/A</v>
      </c>
    </row>
    <row r="68" spans="1:11">
      <c r="A68" s="186" t="s">
        <v>44</v>
      </c>
      <c r="B68" s="173"/>
      <c r="C68" s="173"/>
      <c r="D68" s="198" t="e">
        <f>HLOOKUP($A$12,'Expense Input File'!$A$27:$G$80,46,FALSE)</f>
        <v>#N/A</v>
      </c>
      <c r="E68" s="102"/>
      <c r="F68" s="183" t="e">
        <f>D68</f>
        <v>#N/A</v>
      </c>
      <c r="G68" s="108"/>
      <c r="H68" s="108"/>
      <c r="I68" s="108"/>
      <c r="J68" s="108"/>
      <c r="K68" s="109"/>
    </row>
    <row r="69" spans="1:11">
      <c r="A69" s="186" t="s">
        <v>45</v>
      </c>
      <c r="B69" s="173"/>
      <c r="C69" s="173"/>
      <c r="D69" s="198" t="e">
        <f>HLOOKUP($A$12,'Expense Input File'!$A$27:$G$80,47,FALSE)</f>
        <v>#N/A</v>
      </c>
      <c r="E69" s="202" t="e">
        <f>(E49/D49)*D69</f>
        <v>#N/A</v>
      </c>
      <c r="F69" s="170" t="e">
        <f>(F49/D49)*D69</f>
        <v>#N/A</v>
      </c>
      <c r="G69" s="170" t="e">
        <f>(G49/D49)*D69</f>
        <v>#N/A</v>
      </c>
      <c r="H69" s="170" t="e">
        <f>(H49/D49)*D69</f>
        <v>#N/A</v>
      </c>
      <c r="I69" s="170" t="e">
        <f>(I49/D49)*D69</f>
        <v>#N/A</v>
      </c>
      <c r="J69" s="170" t="e">
        <f>(J49/D49)*D69</f>
        <v>#N/A</v>
      </c>
      <c r="K69" s="179" t="e">
        <f>(K49/D49)*D69</f>
        <v>#N/A</v>
      </c>
    </row>
    <row r="70" spans="1:11">
      <c r="A70" s="186" t="s">
        <v>46</v>
      </c>
      <c r="B70" s="173"/>
      <c r="C70" s="173"/>
      <c r="D70" s="209" t="e">
        <f>HLOOKUP($A$12,'Expense Input File'!$A$27:$G$80,48,FALSE)</f>
        <v>#N/A</v>
      </c>
      <c r="E70" s="123"/>
      <c r="F70" s="122"/>
      <c r="G70" s="122"/>
      <c r="H70" s="122"/>
      <c r="I70" s="122"/>
      <c r="J70" s="122"/>
      <c r="K70" s="230" t="e">
        <f>D70</f>
        <v>#N/A</v>
      </c>
    </row>
    <row r="71" spans="1:11" ht="15">
      <c r="A71" s="180" t="s">
        <v>278</v>
      </c>
      <c r="B71" s="173"/>
      <c r="C71" s="173"/>
      <c r="D71" s="218" t="e">
        <f>SUM(D67:D70)</f>
        <v>#N/A</v>
      </c>
      <c r="E71" s="218" t="e">
        <f t="shared" ref="E71:J71" si="8">SUM(E67:E70)</f>
        <v>#N/A</v>
      </c>
      <c r="F71" s="218" t="e">
        <f t="shared" si="8"/>
        <v>#N/A</v>
      </c>
      <c r="G71" s="218" t="e">
        <f t="shared" si="8"/>
        <v>#N/A</v>
      </c>
      <c r="H71" s="218" t="e">
        <f t="shared" si="8"/>
        <v>#N/A</v>
      </c>
      <c r="I71" s="218" t="e">
        <f t="shared" si="8"/>
        <v>#N/A</v>
      </c>
      <c r="J71" s="218" t="e">
        <f t="shared" si="8"/>
        <v>#N/A</v>
      </c>
      <c r="K71" s="219" t="e">
        <f>SUM(K67:K70)</f>
        <v>#N/A</v>
      </c>
    </row>
    <row r="72" spans="1:11" ht="15.75" thickBot="1">
      <c r="A72" s="220" t="s">
        <v>270</v>
      </c>
      <c r="B72" s="220"/>
      <c r="C72" s="220"/>
      <c r="D72" s="221" t="e">
        <f>SUM(E72:K72)</f>
        <v>#N/A</v>
      </c>
      <c r="E72" s="221" t="e">
        <f>E71+E65</f>
        <v>#N/A</v>
      </c>
      <c r="F72" s="221" t="e">
        <f t="shared" ref="F72:K72" si="9">F71+F65</f>
        <v>#N/A</v>
      </c>
      <c r="G72" s="221" t="e">
        <f t="shared" si="9"/>
        <v>#N/A</v>
      </c>
      <c r="H72" s="221" t="e">
        <f t="shared" si="9"/>
        <v>#N/A</v>
      </c>
      <c r="I72" s="221" t="e">
        <f t="shared" si="9"/>
        <v>#N/A</v>
      </c>
      <c r="J72" s="221" t="e">
        <f t="shared" si="9"/>
        <v>#N/A</v>
      </c>
      <c r="K72" s="222" t="e">
        <f t="shared" si="9"/>
        <v>#N/A</v>
      </c>
    </row>
    <row r="74" spans="1:11">
      <c r="D74" s="231"/>
    </row>
    <row r="75" spans="1:11">
      <c r="A75" s="92"/>
      <c r="B75" s="92"/>
      <c r="C75" s="92"/>
      <c r="D75" s="231"/>
    </row>
    <row r="76" spans="1:11">
      <c r="A76" s="92"/>
      <c r="B76" s="92"/>
      <c r="C76" s="92"/>
    </row>
    <row r="77" spans="1:11">
      <c r="A77" s="92"/>
      <c r="B77" s="92"/>
      <c r="C77" s="92"/>
    </row>
  </sheetData>
  <customSheetViews>
    <customSheetView guid="{2226E858-00AE-4A92-8CF6-5B54D2FA62D4}" showPageBreaks="1" fitToPage="1" topLeftCell="A25">
      <selection activeCell="D32" sqref="D32"/>
      <pageMargins left="0.25" right="0.25" top="0.75" bottom="0.75" header="0.3" footer="0.3"/>
      <pageSetup scale="55" orientation="portrait" r:id="rId1"/>
    </customSheetView>
  </customSheetViews>
  <mergeCells count="3">
    <mergeCell ref="A1:K1"/>
    <mergeCell ref="A10:B10"/>
    <mergeCell ref="A12:C12"/>
  </mergeCells>
  <hyperlinks>
    <hyperlink ref="I5" location="'Revenue Requirement'!A1" display="Revenue Requirement"/>
    <hyperlink ref="I4" location="AFUDC!A1" display="AFUDC"/>
    <hyperlink ref="I3" location="'Repayment Inputs'!A1" display="Repayment Inputs"/>
    <hyperlink ref="I6" location="'Expense Input File'!A1" display="Expense Input"/>
    <hyperlink ref="G4" r:id="rId2"/>
    <hyperlink ref="G5" r:id="rId3"/>
    <hyperlink ref="G6" r:id="rId4"/>
    <hyperlink ref="G7" r:id="rId5"/>
  </hyperlinks>
  <pageMargins left="0.25" right="0.25" top="0.75" bottom="0.75" header="0.3" footer="0.3"/>
  <pageSetup scale="56" orientation="portrait" r:id="rId6"/>
  <legacyDrawing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AG87"/>
  <sheetViews>
    <sheetView zoomScale="85" zoomScaleNormal="85" workbookViewId="0">
      <pane xSplit="5" ySplit="14" topLeftCell="F45" activePane="bottomRight" state="frozen"/>
      <selection activeCell="G18" sqref="G18"/>
      <selection pane="topRight" activeCell="G18" sqref="G18"/>
      <selection pane="bottomLeft" activeCell="G18" sqref="G18"/>
      <selection pane="bottomRight" activeCell="I57" sqref="I57"/>
    </sheetView>
  </sheetViews>
  <sheetFormatPr defaultColWidth="9.140625" defaultRowHeight="14.25"/>
  <cols>
    <col min="1" max="1" width="21.140625" style="445" customWidth="1"/>
    <col min="2" max="2" width="39" style="445" customWidth="1"/>
    <col min="3" max="3" width="2.140625" style="445" customWidth="1"/>
    <col min="4" max="4" width="9.7109375" style="445" customWidth="1"/>
    <col min="5" max="5" width="24.7109375" style="445" customWidth="1"/>
    <col min="6" max="6" width="12.7109375" style="445" bestFit="1" customWidth="1"/>
    <col min="7" max="7" width="12.28515625" style="445" bestFit="1" customWidth="1"/>
    <col min="8" max="8" width="14.85546875" style="445" bestFit="1" customWidth="1"/>
    <col min="9" max="9" width="13.85546875" style="445" bestFit="1" customWidth="1"/>
    <col min="10" max="10" width="15.5703125" style="445" bestFit="1" customWidth="1"/>
    <col min="11" max="12" width="12.7109375" style="445" bestFit="1" customWidth="1"/>
    <col min="13" max="18" width="12.5703125" style="445" customWidth="1"/>
    <col min="19" max="20" width="12.7109375" style="445" bestFit="1" customWidth="1"/>
    <col min="21" max="30" width="12.42578125" style="445" bestFit="1" customWidth="1"/>
    <col min="31" max="32" width="12.28515625" style="445" bestFit="1" customWidth="1"/>
    <col min="33" max="16384" width="9.140625" style="445"/>
  </cols>
  <sheetData>
    <row r="1" spans="1:33" ht="18">
      <c r="A1" s="515" t="s">
        <v>652</v>
      </c>
      <c r="B1" s="515"/>
      <c r="C1" s="515"/>
      <c r="D1" s="515"/>
      <c r="E1" s="515"/>
      <c r="F1" s="515"/>
      <c r="G1" s="515"/>
      <c r="H1" s="515"/>
      <c r="I1" s="515"/>
      <c r="J1" s="515"/>
      <c r="K1" s="515"/>
      <c r="L1" s="515"/>
      <c r="M1" s="490"/>
      <c r="N1" s="490"/>
      <c r="O1" s="490"/>
      <c r="P1" s="490"/>
    </row>
    <row r="2" spans="1:33" ht="18" hidden="1" customHeight="1">
      <c r="A2" s="442"/>
      <c r="B2" s="443"/>
      <c r="C2" s="444"/>
      <c r="D2" s="444"/>
      <c r="E2" s="444"/>
      <c r="F2" s="444"/>
      <c r="G2" s="491" t="s">
        <v>377</v>
      </c>
      <c r="H2" s="492"/>
      <c r="I2" s="492"/>
      <c r="J2" s="444"/>
      <c r="K2" s="444"/>
      <c r="L2" s="444"/>
      <c r="M2" s="490"/>
      <c r="N2" s="490"/>
      <c r="O2" s="490"/>
      <c r="P2" s="490"/>
    </row>
    <row r="3" spans="1:33" ht="15" hidden="1" customHeight="1">
      <c r="A3" s="442" t="s">
        <v>74</v>
      </c>
      <c r="B3" s="477"/>
      <c r="E3" s="449" t="s">
        <v>348</v>
      </c>
      <c r="G3" s="492" t="s">
        <v>378</v>
      </c>
      <c r="H3" s="457" t="s">
        <v>352</v>
      </c>
      <c r="I3" s="473"/>
      <c r="J3" s="460" t="s">
        <v>465</v>
      </c>
    </row>
    <row r="4" spans="1:33" ht="15" hidden="1" customHeight="1" thickBot="1">
      <c r="A4" s="442"/>
      <c r="B4" s="449"/>
      <c r="E4" s="449" t="s">
        <v>343</v>
      </c>
      <c r="G4" s="493"/>
      <c r="H4" s="454" t="s">
        <v>379</v>
      </c>
      <c r="I4" s="473"/>
      <c r="J4" s="497" t="s">
        <v>382</v>
      </c>
    </row>
    <row r="5" spans="1:33" ht="15" hidden="1" customHeight="1">
      <c r="A5" s="453" t="s">
        <v>9</v>
      </c>
      <c r="B5" s="449"/>
      <c r="E5" s="449" t="s">
        <v>342</v>
      </c>
      <c r="G5" s="493"/>
      <c r="H5" s="479" t="s">
        <v>373</v>
      </c>
    </row>
    <row r="6" spans="1:33" ht="15" hidden="1" customHeight="1">
      <c r="A6" s="453"/>
      <c r="B6" s="449"/>
      <c r="E6" s="449" t="s">
        <v>182</v>
      </c>
      <c r="G6" s="493"/>
      <c r="H6" s="479" t="s">
        <v>446</v>
      </c>
    </row>
    <row r="7" spans="1:33" ht="15" hidden="1" customHeight="1">
      <c r="A7" s="453"/>
      <c r="B7" s="449"/>
      <c r="D7" s="494"/>
      <c r="E7" s="494"/>
      <c r="F7" s="494"/>
      <c r="G7" s="493"/>
      <c r="I7" s="494"/>
      <c r="J7" s="494"/>
      <c r="K7" s="494"/>
      <c r="S7" s="495"/>
      <c r="T7" s="495"/>
      <c r="U7" s="495"/>
      <c r="V7" s="495"/>
      <c r="W7" s="495"/>
      <c r="X7" s="495"/>
      <c r="Y7" s="495"/>
      <c r="Z7" s="495"/>
      <c r="AA7" s="495"/>
      <c r="AB7" s="495"/>
      <c r="AC7" s="495"/>
      <c r="AD7" s="495"/>
      <c r="AE7" s="495"/>
      <c r="AF7" s="495"/>
      <c r="AG7" s="495"/>
    </row>
    <row r="8" spans="1:33" ht="15" hidden="1" customHeight="1">
      <c r="A8" s="453"/>
      <c r="C8" s="496" t="s">
        <v>533</v>
      </c>
      <c r="D8" s="496"/>
      <c r="E8" s="496"/>
      <c r="F8" s="496"/>
      <c r="G8" s="496"/>
      <c r="H8" s="496"/>
      <c r="I8" s="496"/>
      <c r="J8" s="496"/>
      <c r="K8" s="496"/>
    </row>
    <row r="9" spans="1:33" ht="15" hidden="1" customHeight="1">
      <c r="A9" s="453" t="s">
        <v>13</v>
      </c>
      <c r="B9" s="449">
        <v>2020</v>
      </c>
      <c r="C9" s="496"/>
      <c r="D9" s="496"/>
      <c r="E9" s="496"/>
      <c r="F9" s="496"/>
      <c r="G9" s="496"/>
      <c r="H9" s="496"/>
      <c r="I9" s="496"/>
      <c r="J9" s="496"/>
      <c r="K9" s="496"/>
    </row>
    <row r="10" spans="1:33" ht="15" hidden="1" customHeight="1">
      <c r="A10" s="453" t="s">
        <v>14</v>
      </c>
      <c r="B10" s="449">
        <v>2044</v>
      </c>
      <c r="C10" s="496"/>
      <c r="D10" s="496"/>
      <c r="E10" s="496"/>
      <c r="F10" s="496"/>
      <c r="G10" s="496"/>
      <c r="H10" s="496"/>
      <c r="I10" s="496"/>
      <c r="J10" s="496"/>
      <c r="K10" s="496"/>
    </row>
    <row r="11" spans="1:33" ht="15" hidden="1" customHeight="1" thickBot="1">
      <c r="J11" s="474"/>
      <c r="K11" s="474"/>
      <c r="L11" s="474"/>
      <c r="P11" s="488"/>
      <c r="Q11" s="488"/>
      <c r="R11" s="488"/>
      <c r="S11" s="488"/>
      <c r="T11" s="488"/>
      <c r="U11" s="488"/>
      <c r="V11" s="488"/>
      <c r="W11" s="488"/>
      <c r="X11" s="488"/>
      <c r="Y11" s="488"/>
      <c r="Z11" s="488"/>
      <c r="AA11" s="488"/>
      <c r="AB11" s="488"/>
      <c r="AC11" s="488"/>
      <c r="AD11" s="488"/>
    </row>
    <row r="12" spans="1:33" collapsed="1">
      <c r="A12" s="453"/>
      <c r="F12" s="465"/>
      <c r="G12" s="461"/>
      <c r="H12" s="461"/>
      <c r="I12" s="461"/>
      <c r="J12" s="461"/>
      <c r="K12" s="461"/>
      <c r="L12" s="461"/>
      <c r="M12" s="461"/>
      <c r="N12" s="461"/>
      <c r="O12" s="461"/>
      <c r="P12" s="664" t="s">
        <v>530</v>
      </c>
      <c r="Q12" s="664"/>
      <c r="R12" s="664"/>
      <c r="S12" s="664"/>
      <c r="T12" s="664"/>
      <c r="U12" s="664"/>
      <c r="V12" s="664"/>
      <c r="W12" s="664"/>
      <c r="X12" s="664"/>
      <c r="Y12" s="664"/>
      <c r="Z12" s="664"/>
      <c r="AA12" s="664"/>
      <c r="AB12" s="664"/>
      <c r="AC12" s="664"/>
      <c r="AD12" s="664"/>
    </row>
    <row r="13" spans="1:33">
      <c r="A13" s="458" t="s">
        <v>37</v>
      </c>
      <c r="B13" s="458"/>
      <c r="C13" s="458"/>
      <c r="D13" s="458"/>
      <c r="E13" s="458"/>
      <c r="F13" s="458"/>
      <c r="G13" s="458"/>
    </row>
    <row r="14" spans="1:33">
      <c r="A14" s="459" t="s">
        <v>11</v>
      </c>
      <c r="B14" s="503" t="s">
        <v>12</v>
      </c>
      <c r="C14" s="503"/>
      <c r="D14" s="574"/>
      <c r="E14" s="574"/>
      <c r="F14" s="574">
        <v>2022</v>
      </c>
      <c r="G14" s="574">
        <v>2023</v>
      </c>
    </row>
    <row r="15" spans="1:33">
      <c r="A15" s="449">
        <v>4785</v>
      </c>
      <c r="B15" s="445" t="s">
        <v>544</v>
      </c>
      <c r="C15" s="461"/>
      <c r="D15" s="498"/>
      <c r="E15" s="498"/>
      <c r="F15" s="499">
        <v>168710.52734000003</v>
      </c>
      <c r="G15" s="499">
        <v>171594.52619000003</v>
      </c>
    </row>
    <row r="16" spans="1:33">
      <c r="A16" s="449">
        <v>4786</v>
      </c>
      <c r="B16" s="445" t="s">
        <v>545</v>
      </c>
      <c r="C16" s="461"/>
      <c r="D16" s="498"/>
      <c r="E16" s="498"/>
      <c r="F16" s="499">
        <v>56569.629559999987</v>
      </c>
      <c r="G16" s="499">
        <v>57094.455739999998</v>
      </c>
    </row>
    <row r="17" spans="1:7">
      <c r="A17" s="449">
        <v>4787</v>
      </c>
      <c r="B17" s="445" t="s">
        <v>548</v>
      </c>
      <c r="C17" s="498" t="s">
        <v>549</v>
      </c>
      <c r="E17" s="498"/>
      <c r="F17" s="499">
        <v>177560.31468000001</v>
      </c>
      <c r="G17" s="499">
        <v>179860.30659999995</v>
      </c>
    </row>
    <row r="18" spans="1:7">
      <c r="A18" s="449">
        <v>4879</v>
      </c>
      <c r="B18" s="445" t="s">
        <v>546</v>
      </c>
      <c r="C18" s="461"/>
      <c r="D18" s="498"/>
      <c r="E18" s="498"/>
      <c r="F18" s="499">
        <v>9721.4180500000002</v>
      </c>
      <c r="G18" s="499">
        <v>9757.9000099999994</v>
      </c>
    </row>
    <row r="19" spans="1:7">
      <c r="A19" s="449">
        <v>4784</v>
      </c>
      <c r="B19" s="445" t="s">
        <v>22</v>
      </c>
      <c r="C19" s="461"/>
      <c r="D19" s="498"/>
      <c r="E19" s="498"/>
      <c r="F19" s="499">
        <v>108921.63737083001</v>
      </c>
      <c r="G19" s="499">
        <v>108928.04732083</v>
      </c>
    </row>
    <row r="20" spans="1:7">
      <c r="A20" s="449">
        <v>4788</v>
      </c>
      <c r="B20" s="445" t="s">
        <v>547</v>
      </c>
      <c r="C20" s="461"/>
      <c r="D20" s="498"/>
      <c r="E20" s="498"/>
      <c r="F20" s="499">
        <v>103195.49569999998</v>
      </c>
      <c r="G20" s="499">
        <v>104681.43609999996</v>
      </c>
    </row>
    <row r="21" spans="1:7">
      <c r="A21" s="449" t="s">
        <v>99</v>
      </c>
      <c r="B21" s="445" t="s">
        <v>583</v>
      </c>
      <c r="C21" s="461"/>
      <c r="D21" s="498"/>
      <c r="E21" s="498"/>
      <c r="F21" s="501">
        <v>0</v>
      </c>
      <c r="G21" s="499">
        <v>0</v>
      </c>
    </row>
    <row r="22" spans="1:7">
      <c r="A22" s="449" t="s">
        <v>24</v>
      </c>
      <c r="C22" s="461"/>
      <c r="D22" s="498"/>
      <c r="E22" s="498"/>
      <c r="F22" s="499"/>
      <c r="G22" s="499"/>
    </row>
    <row r="23" spans="1:7">
      <c r="A23" s="449" t="s">
        <v>24</v>
      </c>
      <c r="B23" s="445" t="s">
        <v>653</v>
      </c>
      <c r="C23" s="461"/>
      <c r="D23" s="498"/>
      <c r="E23" s="498" t="s">
        <v>560</v>
      </c>
      <c r="F23" s="499">
        <v>2300.0000399999999</v>
      </c>
      <c r="G23" s="499">
        <v>2300.0000399999999</v>
      </c>
    </row>
    <row r="24" spans="1:7">
      <c r="A24" s="449" t="s">
        <v>24</v>
      </c>
      <c r="B24" s="445" t="s">
        <v>561</v>
      </c>
      <c r="C24" s="461"/>
      <c r="D24" s="461"/>
      <c r="E24" s="461"/>
      <c r="F24" s="461"/>
      <c r="G24" s="461"/>
    </row>
    <row r="25" spans="1:7">
      <c r="A25" s="449"/>
      <c r="C25" s="665" t="s">
        <v>496</v>
      </c>
      <c r="D25" s="665"/>
      <c r="E25" s="665"/>
      <c r="F25" s="525" t="b">
        <v>1</v>
      </c>
      <c r="G25" s="525" t="b">
        <v>1</v>
      </c>
    </row>
    <row r="26" spans="1:7">
      <c r="A26" s="458" t="s">
        <v>38</v>
      </c>
      <c r="B26" s="458"/>
      <c r="C26" s="458"/>
      <c r="D26" s="458"/>
      <c r="E26" s="458"/>
      <c r="F26" s="458"/>
      <c r="G26" s="458"/>
    </row>
    <row r="27" spans="1:7">
      <c r="A27" s="459" t="s">
        <v>15</v>
      </c>
      <c r="B27" s="503" t="s">
        <v>12</v>
      </c>
      <c r="C27" s="503"/>
      <c r="D27" s="574"/>
      <c r="E27" s="574"/>
      <c r="F27" s="503">
        <v>2022</v>
      </c>
      <c r="G27" s="503">
        <v>2023</v>
      </c>
    </row>
    <row r="28" spans="1:7">
      <c r="A28" s="459"/>
      <c r="B28" s="502" t="s">
        <v>23</v>
      </c>
      <c r="C28" s="503"/>
      <c r="D28" s="503"/>
      <c r="E28" s="504"/>
      <c r="F28" s="505"/>
      <c r="G28" s="505"/>
    </row>
    <row r="29" spans="1:7">
      <c r="A29" s="449" t="s">
        <v>16</v>
      </c>
      <c r="B29" s="445" t="s">
        <v>2</v>
      </c>
      <c r="C29" s="461"/>
      <c r="D29" s="506"/>
      <c r="E29" s="507"/>
      <c r="F29" s="461">
        <v>16272.73827</v>
      </c>
      <c r="G29" s="461">
        <v>16590.131299999997</v>
      </c>
    </row>
    <row r="30" spans="1:7">
      <c r="A30" s="449" t="s">
        <v>17</v>
      </c>
      <c r="B30" s="445" t="s">
        <v>1</v>
      </c>
      <c r="C30" s="461"/>
      <c r="D30" s="508"/>
      <c r="E30" s="504"/>
      <c r="F30" s="465">
        <v>3971.8409100000013</v>
      </c>
      <c r="G30" s="465">
        <v>4036.9666799999991</v>
      </c>
    </row>
    <row r="31" spans="1:7">
      <c r="A31" s="449" t="s">
        <v>18</v>
      </c>
      <c r="B31" s="445" t="s">
        <v>0</v>
      </c>
      <c r="C31" s="461"/>
      <c r="D31" s="506"/>
      <c r="E31" s="507"/>
      <c r="F31" s="461">
        <v>34587.910969999997</v>
      </c>
      <c r="G31" s="461">
        <v>34881.880580000012</v>
      </c>
    </row>
    <row r="32" spans="1:7">
      <c r="A32" s="449" t="s">
        <v>19</v>
      </c>
      <c r="B32" s="445" t="s">
        <v>497</v>
      </c>
      <c r="C32" s="461"/>
      <c r="D32" s="506"/>
      <c r="E32" s="504"/>
      <c r="F32" s="461">
        <v>7400.9287599999998</v>
      </c>
      <c r="G32" s="461">
        <v>7547.4847399999981</v>
      </c>
    </row>
    <row r="33" spans="1:7">
      <c r="A33" s="449">
        <v>1206</v>
      </c>
      <c r="B33" s="445" t="s">
        <v>59</v>
      </c>
      <c r="C33" s="461"/>
      <c r="D33" s="506"/>
      <c r="E33" s="507"/>
      <c r="F33" s="461">
        <v>25917.434659999988</v>
      </c>
      <c r="G33" s="461">
        <v>26444.974669999989</v>
      </c>
    </row>
    <row r="34" spans="1:7">
      <c r="A34" s="449" t="s">
        <v>24</v>
      </c>
      <c r="B34" s="445" t="s">
        <v>351</v>
      </c>
      <c r="C34" s="461"/>
      <c r="D34" s="498"/>
      <c r="E34" s="498" t="s">
        <v>560</v>
      </c>
      <c r="F34" s="461">
        <v>180</v>
      </c>
      <c r="G34" s="461">
        <v>180</v>
      </c>
    </row>
    <row r="35" spans="1:7">
      <c r="A35" s="449"/>
      <c r="B35" s="502" t="s">
        <v>47</v>
      </c>
      <c r="E35" s="507"/>
      <c r="F35" s="461"/>
      <c r="G35" s="461"/>
    </row>
    <row r="36" spans="1:7">
      <c r="A36" s="449" t="s">
        <v>49</v>
      </c>
      <c r="B36" s="445" t="s">
        <v>50</v>
      </c>
      <c r="C36" s="461"/>
      <c r="D36" s="506"/>
      <c r="E36" s="504"/>
      <c r="F36" s="461">
        <v>3402.1580400000007</v>
      </c>
      <c r="G36" s="461">
        <v>3483.4420700000005</v>
      </c>
    </row>
    <row r="37" spans="1:7">
      <c r="A37" s="449" t="s">
        <v>51</v>
      </c>
      <c r="B37" s="445" t="s">
        <v>52</v>
      </c>
      <c r="C37" s="461"/>
      <c r="D37" s="506"/>
      <c r="E37" s="507"/>
      <c r="F37" s="461">
        <v>2138.9639700000002</v>
      </c>
      <c r="G37" s="461">
        <v>2182.1046899999997</v>
      </c>
    </row>
    <row r="38" spans="1:7">
      <c r="A38" s="449" t="s">
        <v>53</v>
      </c>
      <c r="B38" s="445" t="s">
        <v>54</v>
      </c>
      <c r="C38" s="461"/>
      <c r="D38" s="506"/>
      <c r="E38" s="504"/>
      <c r="F38" s="461">
        <v>907.03598</v>
      </c>
      <c r="G38" s="461">
        <v>938.95650000000001</v>
      </c>
    </row>
    <row r="39" spans="1:7">
      <c r="A39" s="449" t="s">
        <v>55</v>
      </c>
      <c r="B39" s="445" t="s">
        <v>56</v>
      </c>
      <c r="C39" s="461"/>
      <c r="D39" s="506"/>
      <c r="E39" s="507"/>
      <c r="F39" s="461">
        <v>8042.6218400000034</v>
      </c>
      <c r="G39" s="461">
        <v>8175.2029300000049</v>
      </c>
    </row>
    <row r="40" spans="1:7">
      <c r="A40" s="449" t="s">
        <v>99</v>
      </c>
      <c r="B40" s="445" t="s">
        <v>536</v>
      </c>
      <c r="C40" s="445" t="s">
        <v>537</v>
      </c>
      <c r="D40" s="509"/>
      <c r="E40" s="504"/>
      <c r="F40" s="499">
        <v>1340.3794800000001</v>
      </c>
      <c r="G40" s="499">
        <v>1352.03998</v>
      </c>
    </row>
    <row r="41" spans="1:7">
      <c r="A41" s="449"/>
      <c r="B41" s="502" t="s">
        <v>48</v>
      </c>
      <c r="E41" s="507"/>
      <c r="F41" s="461"/>
      <c r="G41" s="461"/>
    </row>
    <row r="42" spans="1:7">
      <c r="A42" s="449">
        <v>1089</v>
      </c>
      <c r="B42" s="445" t="s">
        <v>58</v>
      </c>
      <c r="C42" s="461"/>
      <c r="D42" s="506"/>
      <c r="E42" s="504"/>
      <c r="F42" s="461">
        <v>16069.371200000016</v>
      </c>
      <c r="G42" s="461">
        <v>16313.839940000018</v>
      </c>
    </row>
    <row r="43" spans="1:7">
      <c r="A43" s="449">
        <v>1074</v>
      </c>
      <c r="B43" s="445" t="s">
        <v>60</v>
      </c>
      <c r="C43" s="461"/>
      <c r="D43" s="506"/>
      <c r="E43" s="507"/>
      <c r="F43" s="461">
        <v>947.65460999999948</v>
      </c>
      <c r="G43" s="461">
        <v>961.77314999999999</v>
      </c>
    </row>
    <row r="44" spans="1:7">
      <c r="A44" s="449">
        <v>1090</v>
      </c>
      <c r="B44" s="445" t="s">
        <v>389</v>
      </c>
      <c r="C44" s="461"/>
      <c r="D44" s="506"/>
      <c r="E44" s="504"/>
      <c r="F44" s="471">
        <v>23326.617350000004</v>
      </c>
      <c r="G44" s="471">
        <v>23822.894990000001</v>
      </c>
    </row>
    <row r="45" spans="1:7">
      <c r="A45" s="449">
        <v>1076</v>
      </c>
      <c r="B45" s="445" t="s">
        <v>61</v>
      </c>
      <c r="C45" s="461"/>
      <c r="D45" s="506"/>
      <c r="E45" s="507"/>
      <c r="F45" s="461">
        <v>5847.1817499999979</v>
      </c>
      <c r="G45" s="461">
        <v>5901.5967200000005</v>
      </c>
    </row>
    <row r="46" spans="1:7">
      <c r="A46" s="449">
        <v>4146</v>
      </c>
      <c r="B46" s="445" t="s">
        <v>62</v>
      </c>
      <c r="C46" s="461"/>
      <c r="D46" s="506"/>
      <c r="E46" s="504"/>
      <c r="F46" s="461">
        <v>3031.29504</v>
      </c>
      <c r="G46" s="461">
        <v>3031.29504</v>
      </c>
    </row>
    <row r="47" spans="1:7">
      <c r="A47" s="449">
        <v>1093</v>
      </c>
      <c r="B47" s="445" t="s">
        <v>63</v>
      </c>
      <c r="C47" s="461"/>
      <c r="D47" s="506"/>
      <c r="E47" s="507"/>
      <c r="F47" s="461">
        <v>2638.1579900000002</v>
      </c>
      <c r="G47" s="461">
        <v>2783.0110200000004</v>
      </c>
    </row>
    <row r="48" spans="1:7">
      <c r="B48" s="502"/>
      <c r="E48" s="504"/>
    </row>
    <row r="49" spans="1:7">
      <c r="B49" s="502" t="s">
        <v>25</v>
      </c>
      <c r="E49" s="507"/>
      <c r="F49" s="461"/>
      <c r="G49" s="461"/>
    </row>
    <row r="50" spans="1:7">
      <c r="A50" s="449" t="s">
        <v>26</v>
      </c>
      <c r="B50" s="445" t="s">
        <v>3</v>
      </c>
      <c r="C50" s="461"/>
      <c r="D50" s="506"/>
      <c r="E50" s="504"/>
      <c r="F50" s="461">
        <v>934.31557999999995</v>
      </c>
      <c r="G50" s="461">
        <v>953.86953000000005</v>
      </c>
    </row>
    <row r="51" spans="1:7">
      <c r="A51" s="449" t="s">
        <v>27</v>
      </c>
      <c r="B51" s="445" t="s">
        <v>4</v>
      </c>
      <c r="C51" s="461"/>
      <c r="D51" s="506"/>
      <c r="E51" s="507"/>
      <c r="F51" s="461">
        <v>137.67599999999999</v>
      </c>
      <c r="G51" s="461">
        <v>141.11195999999998</v>
      </c>
    </row>
    <row r="52" spans="1:7">
      <c r="A52" s="449" t="s">
        <v>28</v>
      </c>
      <c r="B52" s="445" t="s">
        <v>5</v>
      </c>
      <c r="C52" s="461"/>
      <c r="D52" s="506"/>
      <c r="E52" s="504"/>
      <c r="F52" s="461">
        <v>5160.8529800000006</v>
      </c>
      <c r="G52" s="461">
        <v>5273.5809099999969</v>
      </c>
    </row>
    <row r="53" spans="1:7">
      <c r="A53" s="449" t="s">
        <v>29</v>
      </c>
      <c r="B53" s="445" t="s">
        <v>6</v>
      </c>
      <c r="C53" s="461"/>
      <c r="D53" s="506"/>
      <c r="E53" s="507"/>
      <c r="F53" s="461">
        <v>4899.4479100000017</v>
      </c>
      <c r="G53" s="461">
        <v>5004.1827800000019</v>
      </c>
    </row>
    <row r="54" spans="1:7">
      <c r="A54" s="449" t="s">
        <v>30</v>
      </c>
      <c r="B54" s="445" t="s">
        <v>7</v>
      </c>
      <c r="C54" s="461"/>
      <c r="D54" s="506"/>
      <c r="E54" s="504"/>
      <c r="F54" s="461">
        <v>143.79911999999996</v>
      </c>
      <c r="G54" s="461">
        <v>147.31907999999996</v>
      </c>
    </row>
    <row r="55" spans="1:7">
      <c r="A55" s="449"/>
      <c r="B55" s="502" t="s">
        <v>390</v>
      </c>
      <c r="E55" s="507"/>
      <c r="F55" s="461"/>
      <c r="G55" s="461"/>
    </row>
    <row r="56" spans="1:7">
      <c r="A56" s="449" t="s">
        <v>99</v>
      </c>
      <c r="B56" s="445" t="s">
        <v>386</v>
      </c>
      <c r="D56" s="506"/>
      <c r="E56" s="504"/>
      <c r="F56" s="461">
        <v>70.603059999999999</v>
      </c>
      <c r="G56" s="461">
        <v>72.367930000000015</v>
      </c>
    </row>
    <row r="57" spans="1:7">
      <c r="A57" s="449" t="s">
        <v>99</v>
      </c>
      <c r="B57" s="445" t="s">
        <v>387</v>
      </c>
      <c r="C57" s="461"/>
      <c r="D57" s="506"/>
      <c r="E57" s="507"/>
      <c r="F57" s="461"/>
      <c r="G57" s="461"/>
    </row>
    <row r="58" spans="1:7">
      <c r="A58" s="449" t="s">
        <v>99</v>
      </c>
      <c r="B58" s="445" t="s">
        <v>388</v>
      </c>
      <c r="C58" s="461"/>
      <c r="D58" s="506"/>
      <c r="E58" s="504"/>
      <c r="F58" s="461">
        <v>1260.6200300000003</v>
      </c>
      <c r="G58" s="461">
        <v>1289.0140400000003</v>
      </c>
    </row>
    <row r="59" spans="1:7">
      <c r="A59" s="449" t="s">
        <v>24</v>
      </c>
      <c r="B59" s="445" t="s">
        <v>539</v>
      </c>
      <c r="C59" s="445" t="s">
        <v>538</v>
      </c>
      <c r="D59" s="465"/>
      <c r="E59" s="507"/>
      <c r="F59" s="461">
        <v>260.92183999999997</v>
      </c>
      <c r="G59" s="461">
        <v>265.48495999999994</v>
      </c>
    </row>
    <row r="60" spans="1:7">
      <c r="A60" s="503" t="s">
        <v>41</v>
      </c>
      <c r="B60" s="502" t="s">
        <v>31</v>
      </c>
      <c r="C60" s="503"/>
      <c r="D60" s="503"/>
      <c r="E60" s="504"/>
      <c r="F60" s="503">
        <v>2022</v>
      </c>
      <c r="G60" s="503">
        <v>2023</v>
      </c>
    </row>
    <row r="61" spans="1:7">
      <c r="A61" s="449" t="s">
        <v>39</v>
      </c>
      <c r="B61" s="445" t="s">
        <v>615</v>
      </c>
      <c r="C61" s="461"/>
      <c r="D61" s="506"/>
      <c r="E61" s="507"/>
      <c r="F61" s="511">
        <v>90790.277320830006</v>
      </c>
      <c r="G61" s="461">
        <v>90790.277320830006</v>
      </c>
    </row>
    <row r="62" spans="1:7">
      <c r="A62" s="449" t="s">
        <v>40</v>
      </c>
      <c r="B62" s="445" t="s">
        <v>42</v>
      </c>
      <c r="C62" s="461"/>
      <c r="D62" s="461"/>
      <c r="E62" s="504"/>
      <c r="F62" s="461">
        <v>10789.798999999999</v>
      </c>
      <c r="G62" s="461">
        <v>10789.798999999999</v>
      </c>
    </row>
    <row r="63" spans="1:7">
      <c r="A63" s="666"/>
      <c r="B63" s="512" t="s">
        <v>515</v>
      </c>
      <c r="C63" s="461"/>
      <c r="D63" s="506"/>
      <c r="E63" s="507"/>
      <c r="F63" s="513">
        <v>9502</v>
      </c>
      <c r="G63" s="461">
        <v>9502</v>
      </c>
    </row>
    <row r="64" spans="1:7">
      <c r="A64" s="666"/>
      <c r="B64" s="512" t="s">
        <v>516</v>
      </c>
      <c r="C64" s="461"/>
      <c r="D64" s="506"/>
      <c r="E64" s="504"/>
      <c r="F64" s="513">
        <v>364.95499999999998</v>
      </c>
      <c r="G64" s="461">
        <v>364.95499999999998</v>
      </c>
    </row>
    <row r="65" spans="1:7">
      <c r="A65" s="666"/>
      <c r="B65" s="512" t="s">
        <v>517</v>
      </c>
      <c r="C65" s="461"/>
      <c r="D65" s="506"/>
      <c r="E65" s="507"/>
      <c r="F65" s="513">
        <v>922.84400000000005</v>
      </c>
      <c r="G65" s="461">
        <v>922.84400000000005</v>
      </c>
    </row>
    <row r="66" spans="1:7">
      <c r="A66" s="449" t="s">
        <v>36</v>
      </c>
      <c r="B66" s="445" t="s">
        <v>233</v>
      </c>
      <c r="C66" s="461"/>
      <c r="D66" s="461"/>
      <c r="E66" s="504"/>
      <c r="F66" s="461">
        <v>2665.181</v>
      </c>
      <c r="G66" s="461">
        <v>2665.181</v>
      </c>
    </row>
    <row r="67" spans="1:7">
      <c r="A67" s="449"/>
      <c r="B67" s="512" t="s">
        <v>518</v>
      </c>
      <c r="C67" s="461"/>
      <c r="D67" s="506"/>
      <c r="E67" s="507"/>
      <c r="F67" s="513">
        <v>370</v>
      </c>
      <c r="G67" s="461">
        <v>370</v>
      </c>
    </row>
    <row r="68" spans="1:7">
      <c r="A68" s="449"/>
      <c r="B68" s="512" t="s">
        <v>519</v>
      </c>
      <c r="C68" s="461"/>
      <c r="D68" s="506"/>
      <c r="E68" s="504"/>
      <c r="F68" s="513">
        <v>2295.181</v>
      </c>
      <c r="G68" s="461">
        <v>2295.181</v>
      </c>
    </row>
    <row r="69" spans="1:7">
      <c r="A69" s="449"/>
      <c r="B69" s="512" t="s">
        <v>234</v>
      </c>
      <c r="C69" s="461"/>
      <c r="D69" s="461"/>
      <c r="E69" s="507"/>
      <c r="F69" s="461">
        <v>104245.25732083</v>
      </c>
      <c r="G69" s="461">
        <v>104245.25732083</v>
      </c>
    </row>
    <row r="70" spans="1:7">
      <c r="A70" s="449"/>
      <c r="B70" s="512"/>
      <c r="C70" s="461"/>
      <c r="D70" s="461"/>
      <c r="E70" s="504"/>
      <c r="F70" s="461" t="s">
        <v>584</v>
      </c>
      <c r="G70" s="461">
        <v>90790.277320830006</v>
      </c>
    </row>
    <row r="71" spans="1:7">
      <c r="A71" s="449" t="s">
        <v>35</v>
      </c>
      <c r="B71" s="445" t="s">
        <v>43</v>
      </c>
      <c r="C71" s="461"/>
      <c r="D71" s="506"/>
      <c r="E71" s="507"/>
      <c r="F71" s="461">
        <v>80.760000000000005</v>
      </c>
      <c r="G71" s="461">
        <v>80.760000000000005</v>
      </c>
    </row>
    <row r="72" spans="1:7">
      <c r="A72" s="449" t="s">
        <v>32</v>
      </c>
      <c r="B72" s="445" t="s">
        <v>540</v>
      </c>
      <c r="C72" s="461" t="s">
        <v>541</v>
      </c>
      <c r="D72" s="506"/>
      <c r="E72" s="504"/>
      <c r="F72" s="461">
        <v>4296.4247999999998</v>
      </c>
      <c r="G72" s="461">
        <v>4296.4247999999998</v>
      </c>
    </row>
    <row r="73" spans="1:7">
      <c r="A73" s="449" t="s">
        <v>33</v>
      </c>
      <c r="B73" s="445" t="s">
        <v>542</v>
      </c>
      <c r="C73" s="461" t="s">
        <v>541</v>
      </c>
      <c r="D73" s="506"/>
      <c r="E73" s="507"/>
      <c r="F73" s="461">
        <v>0.98519000000000001</v>
      </c>
      <c r="G73" s="461">
        <v>0.98519000000000001</v>
      </c>
    </row>
    <row r="74" spans="1:7">
      <c r="A74" s="449" t="s">
        <v>34</v>
      </c>
      <c r="B74" s="445" t="s">
        <v>543</v>
      </c>
      <c r="C74" s="461" t="s">
        <v>541</v>
      </c>
      <c r="D74" s="506"/>
      <c r="E74" s="504"/>
      <c r="F74" s="461">
        <v>298.21006</v>
      </c>
      <c r="G74" s="461">
        <v>304.62001000000004</v>
      </c>
    </row>
    <row r="75" spans="1:7">
      <c r="A75" s="449"/>
      <c r="B75" s="489" t="s">
        <v>235</v>
      </c>
      <c r="C75" s="461"/>
      <c r="D75" s="461"/>
      <c r="E75" s="507"/>
      <c r="F75" s="461">
        <v>4676.3800500000007</v>
      </c>
      <c r="G75" s="461">
        <v>4682.79</v>
      </c>
    </row>
    <row r="76" spans="1:7">
      <c r="A76" s="449"/>
      <c r="B76" s="445" t="s">
        <v>236</v>
      </c>
      <c r="C76" s="461"/>
      <c r="D76" s="461"/>
      <c r="E76" s="504"/>
      <c r="F76" s="461">
        <v>108921.63737083001</v>
      </c>
      <c r="G76" s="461">
        <v>108928.04732083</v>
      </c>
    </row>
    <row r="77" spans="1:7">
      <c r="A77" s="449"/>
      <c r="C77" s="461"/>
      <c r="D77" s="461"/>
      <c r="E77" s="507"/>
      <c r="F77" s="461"/>
      <c r="G77" s="461"/>
    </row>
    <row r="78" spans="1:7">
      <c r="A78" s="484" t="s">
        <v>183</v>
      </c>
      <c r="C78" s="465"/>
      <c r="D78" s="465"/>
      <c r="E78" s="504"/>
      <c r="F78" s="465">
        <v>4676.3800500000007</v>
      </c>
      <c r="G78" s="465">
        <v>4682.79</v>
      </c>
    </row>
    <row r="79" spans="1:7">
      <c r="A79" s="484" t="s">
        <v>184</v>
      </c>
      <c r="C79" s="465"/>
      <c r="D79" s="465"/>
      <c r="E79" s="507"/>
      <c r="F79" s="465">
        <v>104245.25732083</v>
      </c>
      <c r="G79" s="465">
        <v>104245.25732083</v>
      </c>
    </row>
    <row r="80" spans="1:7">
      <c r="A80" s="484" t="s">
        <v>178</v>
      </c>
      <c r="C80" s="465"/>
      <c r="D80" s="465"/>
      <c r="E80" s="504"/>
      <c r="F80" s="465">
        <v>108921.63737083001</v>
      </c>
      <c r="G80" s="465">
        <v>108928.04732083</v>
      </c>
    </row>
    <row r="81" spans="1:7">
      <c r="A81" s="518" t="s">
        <v>411</v>
      </c>
      <c r="B81" s="460" t="s">
        <v>410</v>
      </c>
      <c r="C81" s="465"/>
      <c r="D81" s="465"/>
      <c r="E81" s="465"/>
      <c r="F81" s="465">
        <v>80.760000000000005</v>
      </c>
      <c r="G81" s="465">
        <v>80.760000000000005</v>
      </c>
    </row>
    <row r="82" spans="1:7">
      <c r="A82" s="514"/>
      <c r="B82" s="471" t="s">
        <v>445</v>
      </c>
      <c r="D82" s="506"/>
      <c r="E82" s="506"/>
      <c r="F82" s="461">
        <v>0</v>
      </c>
      <c r="G82" s="461">
        <v>0</v>
      </c>
    </row>
    <row r="83" spans="1:7">
      <c r="A83" s="484" t="s">
        <v>614</v>
      </c>
      <c r="C83" s="465"/>
      <c r="D83" s="465"/>
      <c r="E83" s="504"/>
      <c r="F83" s="465">
        <v>675</v>
      </c>
      <c r="G83" s="465">
        <v>1350</v>
      </c>
    </row>
    <row r="84" spans="1:7">
      <c r="A84" s="514"/>
      <c r="B84" s="471"/>
      <c r="D84" s="506"/>
      <c r="E84" s="506"/>
      <c r="F84" s="461"/>
      <c r="G84" s="461"/>
    </row>
    <row r="85" spans="1:7">
      <c r="B85" s="445" t="s">
        <v>616</v>
      </c>
      <c r="D85" s="465"/>
      <c r="F85" s="461">
        <v>0</v>
      </c>
      <c r="G85" s="461">
        <v>0</v>
      </c>
    </row>
    <row r="86" spans="1:7">
      <c r="F86" s="465"/>
      <c r="G86" s="469"/>
    </row>
    <row r="87" spans="1:7">
      <c r="F87" s="465" t="s">
        <v>643</v>
      </c>
      <c r="G87" s="465"/>
    </row>
  </sheetData>
  <dataConsolidate/>
  <customSheetViews>
    <customSheetView guid="{2226E858-00AE-4A92-8CF6-5B54D2FA62D4}" scale="90" showPageBreaks="1" fitToPage="1" printArea="1" topLeftCell="A49">
      <selection activeCell="H57" sqref="H57"/>
      <pageMargins left="0.25" right="0.25" top="0.75" bottom="0.75" header="0.3" footer="0.3"/>
      <pageSetup scale="41" orientation="portrait" r:id="rId1"/>
    </customSheetView>
  </customSheetViews>
  <mergeCells count="5">
    <mergeCell ref="C25:E25"/>
    <mergeCell ref="P12:AD12"/>
    <mergeCell ref="A1:L1"/>
    <mergeCell ref="J11:L11"/>
    <mergeCell ref="C8:K10"/>
  </mergeCells>
  <dataValidations disablePrompts="1" count="3">
    <dataValidation type="whole" operator="equal" allowBlank="1" showInputMessage="1" showErrorMessage="1" sqref="C81">
      <formula1>C19</formula1>
    </dataValidation>
    <dataValidation type="whole" allowBlank="1" showInputMessage="1" showErrorMessage="1" errorTitle="Input Values" error="Input data in thousands" sqref="C29:C33">
      <formula1>0</formula1>
      <formula2>1000000</formula2>
    </dataValidation>
    <dataValidation type="whole" operator="lessThan" allowBlank="1" showInputMessage="1" showErrorMessage="1" errorTitle="Input Data" error="Input data in thousands." sqref="C15:C16 C18:C21">
      <formula1>1000000</formula1>
    </dataValidation>
  </dataValidations>
  <pageMargins left="0.25" right="0.25" top="0.75" bottom="0.75" header="0.3" footer="0.3"/>
  <pageSetup scale="4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activeCell="G18" sqref="G18"/>
    </sheetView>
  </sheetViews>
  <sheetFormatPr defaultColWidth="9.140625" defaultRowHeight="14.25"/>
  <cols>
    <col min="1" max="1" width="46.7109375" style="445" customWidth="1"/>
    <col min="2" max="2" width="24.5703125" style="445" customWidth="1"/>
    <col min="3" max="3" width="22.28515625" style="445" customWidth="1"/>
    <col min="4" max="4" width="22.42578125" style="445" customWidth="1"/>
    <col min="5" max="5" width="13" style="445" customWidth="1"/>
    <col min="6" max="6" width="14.42578125" style="445" customWidth="1"/>
    <col min="7" max="7" width="11.5703125" style="445" bestFit="1" customWidth="1"/>
    <col min="8" max="8" width="12.28515625" style="445" customWidth="1"/>
    <col min="9" max="11" width="10.7109375" style="445" customWidth="1"/>
    <col min="12" max="12" width="12.42578125" style="445" customWidth="1"/>
    <col min="13" max="13" width="37.28515625" style="445" bestFit="1" customWidth="1"/>
    <col min="14" max="14" width="13.28515625" style="445" bestFit="1" customWidth="1"/>
    <col min="15" max="15" width="27.42578125" style="445" customWidth="1"/>
    <col min="16" max="16" width="9.85546875" style="445" bestFit="1" customWidth="1"/>
    <col min="17" max="16384" width="9.140625" style="445"/>
  </cols>
  <sheetData>
    <row r="1" spans="1:15" ht="18">
      <c r="B1" s="526" t="s">
        <v>648</v>
      </c>
      <c r="C1" s="526"/>
      <c r="D1" s="526"/>
      <c r="E1" s="526"/>
      <c r="F1" s="526"/>
      <c r="G1" s="526"/>
      <c r="H1" s="526"/>
      <c r="I1" s="526"/>
      <c r="J1" s="526"/>
      <c r="K1" s="526"/>
      <c r="L1" s="526"/>
    </row>
    <row r="2" spans="1:15" ht="18">
      <c r="B2" s="472"/>
      <c r="C2" s="472"/>
      <c r="D2" s="472"/>
      <c r="E2" s="472"/>
      <c r="F2" s="472"/>
      <c r="G2" s="472"/>
      <c r="H2" s="472"/>
      <c r="I2" s="472"/>
      <c r="J2" s="472"/>
      <c r="K2" s="472"/>
      <c r="L2" s="472"/>
    </row>
    <row r="3" spans="1:15" ht="15" customHeight="1">
      <c r="E3" s="480" t="s">
        <v>171</v>
      </c>
      <c r="F3" s="481" t="s">
        <v>172</v>
      </c>
      <c r="G3" s="480" t="s">
        <v>173</v>
      </c>
      <c r="H3" s="481" t="s">
        <v>174</v>
      </c>
      <c r="I3" s="481" t="s">
        <v>175</v>
      </c>
      <c r="J3" s="481" t="s">
        <v>176</v>
      </c>
      <c r="K3" s="481" t="s">
        <v>177</v>
      </c>
      <c r="L3" s="481" t="s">
        <v>178</v>
      </c>
    </row>
    <row r="4" spans="1:15">
      <c r="B4" s="482">
        <v>2022</v>
      </c>
      <c r="C4" s="483" t="s">
        <v>272</v>
      </c>
      <c r="D4" s="483"/>
      <c r="E4" s="480"/>
      <c r="F4" s="480"/>
      <c r="G4" s="480"/>
      <c r="H4" s="480"/>
      <c r="I4" s="480"/>
      <c r="J4" s="480"/>
      <c r="K4" s="480"/>
      <c r="L4" s="480"/>
      <c r="N4" s="461"/>
    </row>
    <row r="5" spans="1:15">
      <c r="A5" s="445" t="s">
        <v>521</v>
      </c>
      <c r="B5" s="484" t="s">
        <v>273</v>
      </c>
      <c r="D5" s="485"/>
      <c r="E5" s="461">
        <v>506035.96727999998</v>
      </c>
      <c r="F5" s="461">
        <v>7847.346469740618</v>
      </c>
      <c r="G5" s="461">
        <v>312403.80406965187</v>
      </c>
      <c r="H5" s="461">
        <v>41464.419824130586</v>
      </c>
      <c r="I5" s="461">
        <v>5747.4965441098138</v>
      </c>
      <c r="J5" s="461">
        <v>2243.4769526758528</v>
      </c>
      <c r="K5" s="461">
        <v>796.0449852102879</v>
      </c>
      <c r="L5" s="461">
        <v>135533.37843448092</v>
      </c>
      <c r="O5" s="465"/>
    </row>
    <row r="6" spans="1:15">
      <c r="A6" s="445" t="s">
        <v>270</v>
      </c>
      <c r="B6" s="484" t="s">
        <v>274</v>
      </c>
      <c r="D6" s="478"/>
      <c r="E6" s="461">
        <v>109596.63737083001</v>
      </c>
      <c r="F6" s="461">
        <v>59.043532261233807</v>
      </c>
      <c r="G6" s="461">
        <v>16881.216155598231</v>
      </c>
      <c r="H6" s="461">
        <v>1202.1134852113519</v>
      </c>
      <c r="I6" s="461">
        <v>25.534383426963203</v>
      </c>
      <c r="J6" s="461">
        <v>330.41680632086241</v>
      </c>
      <c r="K6" s="461">
        <v>7.0196342077415945</v>
      </c>
      <c r="L6" s="461">
        <v>91091.293373803623</v>
      </c>
      <c r="N6" s="461"/>
    </row>
    <row r="7" spans="1:15">
      <c r="A7" s="445" t="s">
        <v>189</v>
      </c>
      <c r="B7" s="484" t="s">
        <v>190</v>
      </c>
      <c r="D7" s="478"/>
      <c r="E7" s="461">
        <v>345302.9200034056</v>
      </c>
      <c r="F7" s="461">
        <v>4588.9787978605173</v>
      </c>
      <c r="G7" s="461">
        <v>268815.15368898853</v>
      </c>
      <c r="H7" s="461">
        <v>33859.68970071002</v>
      </c>
      <c r="I7" s="461">
        <v>4208.6825232712627</v>
      </c>
      <c r="J7" s="461">
        <v>779.20412673208762</v>
      </c>
      <c r="K7" s="461">
        <v>308.42307888584901</v>
      </c>
      <c r="L7" s="461">
        <v>32742.78808695744</v>
      </c>
      <c r="N7" s="461"/>
    </row>
    <row r="8" spans="1:15">
      <c r="A8" s="445" t="s">
        <v>181</v>
      </c>
      <c r="B8" s="484" t="s">
        <v>90</v>
      </c>
      <c r="D8" s="485"/>
      <c r="E8" s="461">
        <v>142210.31407916016</v>
      </c>
      <c r="F8" s="461">
        <v>2233.9969428132645</v>
      </c>
      <c r="G8" s="461">
        <v>117783.11946248313</v>
      </c>
      <c r="H8" s="461">
        <v>15598.864811588313</v>
      </c>
      <c r="I8" s="461">
        <v>1803.8207841908506</v>
      </c>
      <c r="J8" s="461">
        <v>310.22884557131522</v>
      </c>
      <c r="K8" s="461">
        <v>133.70773330174197</v>
      </c>
      <c r="L8" s="461">
        <v>4346.5754992115562</v>
      </c>
      <c r="N8" s="461"/>
    </row>
    <row r="9" spans="1:15">
      <c r="A9" s="445" t="s">
        <v>186</v>
      </c>
      <c r="B9" s="484" t="s">
        <v>255</v>
      </c>
      <c r="D9" s="485"/>
      <c r="E9" s="461">
        <v>40022.921330264951</v>
      </c>
      <c r="F9" s="461">
        <v>301.42511841321442</v>
      </c>
      <c r="G9" s="461">
        <v>36727.048409077172</v>
      </c>
      <c r="H9" s="461">
        <v>2104.6983470906894</v>
      </c>
      <c r="I9" s="461">
        <v>243.3830069553469</v>
      </c>
      <c r="J9" s="461">
        <v>41.858054825164942</v>
      </c>
      <c r="K9" s="461">
        <v>18.04070031200974</v>
      </c>
      <c r="L9" s="461">
        <v>586.46769359134896</v>
      </c>
      <c r="N9" s="461"/>
    </row>
    <row r="10" spans="1:15">
      <c r="B10" s="486" t="s">
        <v>275</v>
      </c>
      <c r="D10" s="485"/>
      <c r="E10" s="461">
        <v>1143168.7600636608</v>
      </c>
      <c r="F10" s="461">
        <v>15030.790861088846</v>
      </c>
      <c r="G10" s="461">
        <v>752610.3417857989</v>
      </c>
      <c r="H10" s="461">
        <v>94229.786168730963</v>
      </c>
      <c r="I10" s="461">
        <v>12028.917241954237</v>
      </c>
      <c r="J10" s="461">
        <v>3705.1847861252827</v>
      </c>
      <c r="K10" s="461">
        <v>1263.23613191763</v>
      </c>
      <c r="L10" s="461">
        <v>264300.50308804493</v>
      </c>
      <c r="N10" s="461"/>
    </row>
    <row r="11" spans="1:15" ht="15.75" customHeight="1">
      <c r="B11" s="486"/>
      <c r="C11" s="478"/>
      <c r="D11" s="487"/>
      <c r="E11" s="488"/>
      <c r="F11" s="488"/>
      <c r="G11" s="488"/>
      <c r="H11" s="488"/>
      <c r="I11" s="488"/>
      <c r="J11" s="488"/>
      <c r="K11" s="488"/>
      <c r="L11" s="488"/>
      <c r="N11" s="459"/>
    </row>
    <row r="12" spans="1:15">
      <c r="B12" s="482">
        <v>2023</v>
      </c>
      <c r="C12" s="483" t="s">
        <v>272</v>
      </c>
      <c r="D12" s="483"/>
      <c r="E12" s="465"/>
      <c r="F12" s="465"/>
      <c r="G12" s="465"/>
      <c r="H12" s="465"/>
      <c r="I12" s="465"/>
      <c r="J12" s="465"/>
      <c r="K12" s="465"/>
      <c r="L12" s="465"/>
      <c r="N12" s="461"/>
    </row>
    <row r="13" spans="1:15">
      <c r="A13" s="445" t="s">
        <v>521</v>
      </c>
      <c r="B13" s="484" t="s">
        <v>273</v>
      </c>
      <c r="D13" s="485"/>
      <c r="E13" s="461">
        <v>513230.7246299999</v>
      </c>
      <c r="F13" s="461">
        <v>7958.0166755204691</v>
      </c>
      <c r="G13" s="461">
        <v>316811.30749806471</v>
      </c>
      <c r="H13" s="461">
        <v>42049.187667907259</v>
      </c>
      <c r="I13" s="461">
        <v>5828.5528129655759</v>
      </c>
      <c r="J13" s="461">
        <v>2275.1164446968041</v>
      </c>
      <c r="K13" s="461">
        <v>807.27151416029005</v>
      </c>
      <c r="L13" s="461">
        <v>137501.27201668482</v>
      </c>
      <c r="N13" s="461"/>
      <c r="O13" s="465"/>
    </row>
    <row r="14" spans="1:15">
      <c r="A14" s="445" t="s">
        <v>270</v>
      </c>
      <c r="B14" s="484" t="s">
        <v>274</v>
      </c>
      <c r="D14" s="478"/>
      <c r="E14" s="461">
        <v>110278.04732083001</v>
      </c>
      <c r="F14" s="461">
        <v>58.9745517597458</v>
      </c>
      <c r="G14" s="461">
        <v>17467.308748348743</v>
      </c>
      <c r="H14" s="461">
        <v>1279.5610872497759</v>
      </c>
      <c r="I14" s="461">
        <v>36.258549182389359</v>
      </c>
      <c r="J14" s="461">
        <v>330.4076920171683</v>
      </c>
      <c r="K14" s="461">
        <v>7.0157244220313206</v>
      </c>
      <c r="L14" s="461">
        <v>91098.520967850156</v>
      </c>
      <c r="N14" s="461"/>
    </row>
    <row r="15" spans="1:15">
      <c r="A15" s="445" t="s">
        <v>189</v>
      </c>
      <c r="B15" s="484" t="s">
        <v>190</v>
      </c>
      <c r="D15" s="478"/>
      <c r="E15" s="461">
        <v>349991.26402862382</v>
      </c>
      <c r="F15" s="461">
        <v>4562.7499513165167</v>
      </c>
      <c r="G15" s="461">
        <v>275734.23162225034</v>
      </c>
      <c r="H15" s="461">
        <v>33721.099680657157</v>
      </c>
      <c r="I15" s="461">
        <v>4189.4721818585422</v>
      </c>
      <c r="J15" s="461">
        <v>771.70556490056447</v>
      </c>
      <c r="K15" s="461">
        <v>305.76239073607604</v>
      </c>
      <c r="L15" s="461">
        <v>30706.24263690459</v>
      </c>
      <c r="N15" s="461"/>
    </row>
    <row r="16" spans="1:15">
      <c r="A16" s="445" t="s">
        <v>181</v>
      </c>
      <c r="B16" s="484" t="s">
        <v>90</v>
      </c>
      <c r="D16" s="485"/>
      <c r="E16" s="461">
        <v>145920.03689345135</v>
      </c>
      <c r="F16" s="461">
        <v>2181.8475931528569</v>
      </c>
      <c r="G16" s="461">
        <v>120222.52322626906</v>
      </c>
      <c r="H16" s="461">
        <v>15412.75723721507</v>
      </c>
      <c r="I16" s="461">
        <v>1747.4397652820935</v>
      </c>
      <c r="J16" s="461">
        <v>303.80607238808415</v>
      </c>
      <c r="K16" s="461">
        <v>130.97191970411015</v>
      </c>
      <c r="L16" s="461">
        <v>5920.6910794400783</v>
      </c>
      <c r="N16" s="461"/>
    </row>
    <row r="17" spans="1:14">
      <c r="A17" s="445" t="s">
        <v>186</v>
      </c>
      <c r="B17" s="484" t="s">
        <v>255</v>
      </c>
      <c r="D17" s="485"/>
      <c r="E17" s="461">
        <v>40012.201427157743</v>
      </c>
      <c r="F17" s="461">
        <v>313.80042441950161</v>
      </c>
      <c r="G17" s="461">
        <v>36316.301346604858</v>
      </c>
      <c r="H17" s="461">
        <v>2216.7129260957477</v>
      </c>
      <c r="I17" s="461">
        <v>251.32247628747132</v>
      </c>
      <c r="J17" s="461">
        <v>43.694378450531701</v>
      </c>
      <c r="K17" s="461">
        <v>18.836807904990696</v>
      </c>
      <c r="L17" s="461">
        <v>851.53306739463494</v>
      </c>
      <c r="N17" s="461"/>
    </row>
    <row r="18" spans="1:14">
      <c r="A18" s="445" t="s">
        <v>643</v>
      </c>
      <c r="B18" s="486" t="s">
        <v>275</v>
      </c>
      <c r="D18" s="485"/>
      <c r="E18" s="461">
        <v>1159432.2743000628</v>
      </c>
      <c r="F18" s="461">
        <v>15075.38919616909</v>
      </c>
      <c r="G18" s="461">
        <v>766551.67244153761</v>
      </c>
      <c r="H18" s="461">
        <v>94679.318599125021</v>
      </c>
      <c r="I18" s="461">
        <v>12053.045785576071</v>
      </c>
      <c r="J18" s="461">
        <v>3724.7301524531522</v>
      </c>
      <c r="K18" s="461">
        <v>1269.8583569274983</v>
      </c>
      <c r="L18" s="461">
        <v>266078.25976827426</v>
      </c>
      <c r="N18" s="461"/>
    </row>
  </sheetData>
  <mergeCells count="11">
    <mergeCell ref="C4:D4"/>
    <mergeCell ref="C12:D12"/>
    <mergeCell ref="B1:L1"/>
    <mergeCell ref="E3:E4"/>
    <mergeCell ref="F3:F4"/>
    <mergeCell ref="G3:G4"/>
    <mergeCell ref="H3:H4"/>
    <mergeCell ref="I3:I4"/>
    <mergeCell ref="J3:J4"/>
    <mergeCell ref="K3:K4"/>
    <mergeCell ref="L3:L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G18" sqref="G18"/>
    </sheetView>
  </sheetViews>
  <sheetFormatPr defaultColWidth="9.140625" defaultRowHeight="14.25"/>
  <cols>
    <col min="1" max="1" width="8.5703125" style="445" customWidth="1"/>
    <col min="2" max="2" width="9.140625" style="445"/>
    <col min="3" max="3" width="31.7109375" style="445" customWidth="1"/>
    <col min="4" max="5" width="15.7109375" style="445" customWidth="1"/>
    <col min="6" max="16384" width="9.140625" style="445"/>
  </cols>
  <sheetData>
    <row r="1" spans="1:5" ht="18">
      <c r="A1" s="526" t="s">
        <v>643</v>
      </c>
      <c r="B1" s="526"/>
      <c r="C1" s="526"/>
      <c r="D1" s="526"/>
      <c r="E1" s="526"/>
    </row>
    <row r="2" spans="1:5">
      <c r="A2" s="458"/>
      <c r="B2" s="458"/>
      <c r="C2" s="458"/>
      <c r="D2" s="476" t="s">
        <v>245</v>
      </c>
      <c r="E2" s="476" t="s">
        <v>246</v>
      </c>
    </row>
    <row r="3" spans="1:5">
      <c r="A3" s="460"/>
      <c r="B3" s="460"/>
      <c r="C3" s="460"/>
      <c r="D3" s="476" t="s">
        <v>247</v>
      </c>
      <c r="E3" s="476" t="s">
        <v>248</v>
      </c>
    </row>
    <row r="4" spans="1:5">
      <c r="A4" s="478"/>
      <c r="B4" s="458">
        <v>2022</v>
      </c>
      <c r="C4" s="662" t="s">
        <v>498</v>
      </c>
      <c r="D4" s="476" t="s">
        <v>249</v>
      </c>
      <c r="E4" s="476" t="s">
        <v>250</v>
      </c>
    </row>
    <row r="5" spans="1:5">
      <c r="B5" s="445" t="s">
        <v>251</v>
      </c>
      <c r="C5" s="460"/>
      <c r="D5" s="461">
        <v>73329.510500000004</v>
      </c>
      <c r="E5" s="461">
        <v>73329.510500000004</v>
      </c>
    </row>
    <row r="6" spans="1:5">
      <c r="B6" s="445" t="s">
        <v>289</v>
      </c>
      <c r="C6" s="460"/>
      <c r="D6" s="461">
        <v>62203.867934480921</v>
      </c>
      <c r="E6" s="461">
        <v>62203.867934480921</v>
      </c>
    </row>
    <row r="7" spans="1:5">
      <c r="B7" s="445" t="s">
        <v>285</v>
      </c>
      <c r="D7" s="461">
        <v>301.01605297361499</v>
      </c>
      <c r="E7" s="461">
        <v>301.01605297361499</v>
      </c>
    </row>
    <row r="8" spans="1:5">
      <c r="B8" s="514" t="s">
        <v>252</v>
      </c>
      <c r="D8" s="471">
        <v>135834.39448745453</v>
      </c>
      <c r="E8" s="471">
        <v>135834.39448745453</v>
      </c>
    </row>
    <row r="9" spans="1:5">
      <c r="A9" s="512"/>
      <c r="B9" s="445" t="s">
        <v>253</v>
      </c>
      <c r="D9" s="461">
        <v>90790.277320830006</v>
      </c>
      <c r="E9" s="461">
        <v>0</v>
      </c>
    </row>
    <row r="10" spans="1:5">
      <c r="A10" s="650"/>
      <c r="B10" s="445" t="s">
        <v>190</v>
      </c>
      <c r="C10" s="460"/>
      <c r="D10" s="465">
        <v>32742.78808695744</v>
      </c>
      <c r="E10" s="465">
        <v>32742.78808695744</v>
      </c>
    </row>
    <row r="11" spans="1:5">
      <c r="A11" s="649"/>
      <c r="B11" s="445" t="s">
        <v>254</v>
      </c>
      <c r="D11" s="465">
        <v>4346.5754992115562</v>
      </c>
      <c r="E11" s="465">
        <v>4346.5754992115562</v>
      </c>
    </row>
    <row r="12" spans="1:5">
      <c r="B12" s="445" t="s">
        <v>255</v>
      </c>
      <c r="D12" s="465">
        <v>586.46769359134896</v>
      </c>
      <c r="E12" s="465">
        <v>586.46769359134896</v>
      </c>
    </row>
    <row r="13" spans="1:5">
      <c r="B13" s="663" t="s">
        <v>95</v>
      </c>
      <c r="D13" s="464">
        <v>264300.50308804493</v>
      </c>
      <c r="E13" s="464">
        <v>173510.22576721487</v>
      </c>
    </row>
    <row r="15" spans="1:5">
      <c r="B15" s="460">
        <v>2023</v>
      </c>
    </row>
    <row r="16" spans="1:5">
      <c r="A16" s="484"/>
      <c r="B16" s="445" t="s">
        <v>251</v>
      </c>
      <c r="C16" s="460"/>
      <c r="D16" s="461">
        <v>74396.527560000002</v>
      </c>
      <c r="E16" s="461">
        <v>74396.527560000002</v>
      </c>
    </row>
    <row r="17" spans="1:5">
      <c r="A17" s="650"/>
      <c r="B17" s="445" t="s">
        <v>289</v>
      </c>
      <c r="C17" s="460"/>
      <c r="D17" s="461">
        <v>63104.744456684828</v>
      </c>
      <c r="E17" s="461">
        <v>63104.744456684828</v>
      </c>
    </row>
    <row r="18" spans="1:5">
      <c r="A18" s="650"/>
      <c r="B18" s="445" t="s">
        <v>285</v>
      </c>
      <c r="D18" s="461">
        <v>308.24364702014464</v>
      </c>
      <c r="E18" s="461">
        <v>308.24364702014464</v>
      </c>
    </row>
    <row r="19" spans="1:5">
      <c r="A19" s="649"/>
      <c r="B19" s="514" t="s">
        <v>252</v>
      </c>
      <c r="D19" s="471">
        <v>137809.51566370495</v>
      </c>
      <c r="E19" s="471">
        <v>137809.51566370495</v>
      </c>
    </row>
    <row r="20" spans="1:5">
      <c r="A20" s="489"/>
      <c r="B20" s="445" t="s">
        <v>253</v>
      </c>
      <c r="D20" s="461">
        <v>90790.277320830006</v>
      </c>
      <c r="E20" s="461">
        <v>0</v>
      </c>
    </row>
    <row r="21" spans="1:5">
      <c r="A21" s="489"/>
      <c r="B21" s="445" t="s">
        <v>190</v>
      </c>
      <c r="C21" s="460"/>
      <c r="D21" s="465">
        <v>30706.24263690459</v>
      </c>
      <c r="E21" s="465">
        <v>30706.24263690459</v>
      </c>
    </row>
    <row r="22" spans="1:5">
      <c r="A22" s="489"/>
      <c r="B22" s="445" t="s">
        <v>254</v>
      </c>
      <c r="D22" s="465">
        <v>5920.6910794400783</v>
      </c>
      <c r="E22" s="461">
        <v>5920.6910794400783</v>
      </c>
    </row>
    <row r="23" spans="1:5">
      <c r="A23" s="650"/>
      <c r="B23" s="445" t="s">
        <v>255</v>
      </c>
      <c r="D23" s="465">
        <v>851.53306739463494</v>
      </c>
      <c r="E23" s="461">
        <v>851.53306739463494</v>
      </c>
    </row>
    <row r="24" spans="1:5">
      <c r="B24" s="663" t="s">
        <v>95</v>
      </c>
      <c r="D24" s="464">
        <v>266078.25976827426</v>
      </c>
      <c r="E24" s="464">
        <v>175287.98244744426</v>
      </c>
    </row>
  </sheetData>
  <mergeCells count="1">
    <mergeCell ref="A1:E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fitToPage="1"/>
  </sheetPr>
  <dimension ref="A1:K76"/>
  <sheetViews>
    <sheetView topLeftCell="A12" workbookViewId="0">
      <selection activeCell="G21" sqref="G21"/>
    </sheetView>
  </sheetViews>
  <sheetFormatPr defaultColWidth="9.140625" defaultRowHeight="14.25"/>
  <cols>
    <col min="1" max="2" width="9.140625" style="445"/>
    <col min="3" max="3" width="38.28515625" style="445" customWidth="1"/>
    <col min="4" max="11" width="15.7109375" style="445" customWidth="1"/>
    <col min="12" max="16384" width="9.140625" style="445"/>
  </cols>
  <sheetData>
    <row r="1" spans="1:11" ht="18" hidden="1">
      <c r="A1" s="515" t="s">
        <v>651</v>
      </c>
      <c r="B1" s="515"/>
      <c r="C1" s="515"/>
      <c r="D1" s="515"/>
      <c r="E1" s="515"/>
      <c r="F1" s="515"/>
      <c r="G1" s="515"/>
      <c r="H1" s="515"/>
      <c r="I1" s="515"/>
      <c r="J1" s="515"/>
      <c r="K1" s="515"/>
    </row>
    <row r="2" spans="1:11" ht="18" hidden="1">
      <c r="B2" s="442" t="s">
        <v>115</v>
      </c>
      <c r="C2" s="443"/>
      <c r="D2" s="444"/>
      <c r="F2" s="446" t="s">
        <v>377</v>
      </c>
      <c r="G2" s="447"/>
      <c r="H2" s="448"/>
      <c r="I2" s="446" t="s">
        <v>380</v>
      </c>
      <c r="J2" s="448"/>
      <c r="K2" s="458"/>
    </row>
    <row r="3" spans="1:11" ht="18" hidden="1">
      <c r="B3" s="442" t="s">
        <v>74</v>
      </c>
      <c r="C3" s="449"/>
      <c r="D3" s="444"/>
      <c r="F3" s="446" t="s">
        <v>378</v>
      </c>
      <c r="G3" s="446" t="s">
        <v>237</v>
      </c>
      <c r="H3" s="448"/>
      <c r="I3" s="450" t="s">
        <v>241</v>
      </c>
      <c r="J3" s="448"/>
      <c r="K3" s="458"/>
    </row>
    <row r="4" spans="1:11" ht="18" hidden="1" customHeight="1">
      <c r="B4" s="442" t="s">
        <v>10</v>
      </c>
      <c r="C4" s="451"/>
      <c r="D4" s="444"/>
      <c r="F4" s="452" t="s">
        <v>643</v>
      </c>
      <c r="G4" s="450" t="s">
        <v>367</v>
      </c>
      <c r="H4" s="448"/>
      <c r="I4" s="450" t="s">
        <v>88</v>
      </c>
      <c r="J4" s="444"/>
      <c r="K4" s="458"/>
    </row>
    <row r="5" spans="1:11" ht="18" hidden="1" customHeight="1">
      <c r="B5" s="453" t="s">
        <v>9</v>
      </c>
      <c r="C5" s="451"/>
      <c r="F5" s="452" t="s">
        <v>643</v>
      </c>
      <c r="G5" s="646" t="s">
        <v>369</v>
      </c>
      <c r="H5" s="448"/>
      <c r="I5" s="454" t="s">
        <v>368</v>
      </c>
      <c r="K5" s="458"/>
    </row>
    <row r="6" spans="1:11" hidden="1">
      <c r="B6" s="453" t="s">
        <v>364</v>
      </c>
      <c r="C6" s="449"/>
      <c r="E6" s="455"/>
      <c r="F6" s="452" t="s">
        <v>643</v>
      </c>
      <c r="G6" s="647" t="s">
        <v>447</v>
      </c>
      <c r="H6" s="448"/>
      <c r="I6" s="456" t="s">
        <v>365</v>
      </c>
      <c r="K6" s="458"/>
    </row>
    <row r="7" spans="1:11" hidden="1">
      <c r="B7" s="453" t="s">
        <v>363</v>
      </c>
      <c r="C7" s="449"/>
      <c r="E7" s="455"/>
      <c r="F7" s="452" t="s">
        <v>643</v>
      </c>
      <c r="G7" s="647" t="s">
        <v>450</v>
      </c>
      <c r="H7" s="448"/>
      <c r="I7" s="457"/>
      <c r="K7" s="458"/>
    </row>
    <row r="8" spans="1:11" hidden="1">
      <c r="B8" s="453" t="s">
        <v>271</v>
      </c>
      <c r="C8" s="449">
        <v>2022</v>
      </c>
      <c r="E8" s="458"/>
      <c r="F8" s="458"/>
      <c r="G8" s="455"/>
      <c r="H8" s="454"/>
      <c r="I8" s="458"/>
      <c r="J8" s="458"/>
      <c r="K8" s="458"/>
    </row>
    <row r="9" spans="1:11" hidden="1">
      <c r="B9" s="453"/>
      <c r="C9" s="449"/>
      <c r="E9" s="458"/>
      <c r="F9" s="458"/>
      <c r="G9" s="458"/>
      <c r="H9" s="458"/>
      <c r="I9" s="458"/>
      <c r="J9" s="458"/>
      <c r="K9" s="458"/>
    </row>
    <row r="10" spans="1:11" hidden="1">
      <c r="A10" s="648"/>
      <c r="B10" s="648"/>
      <c r="C10" s="449"/>
    </row>
    <row r="11" spans="1:11" hidden="1"/>
    <row r="12" spans="1:11" ht="29.25" customHeight="1" collapsed="1">
      <c r="A12" s="598">
        <v>2022</v>
      </c>
      <c r="B12" s="598"/>
      <c r="C12" s="598"/>
      <c r="D12" s="459" t="s">
        <v>171</v>
      </c>
      <c r="E12" s="459" t="s">
        <v>172</v>
      </c>
      <c r="F12" s="459" t="s">
        <v>173</v>
      </c>
      <c r="G12" s="459" t="s">
        <v>174</v>
      </c>
      <c r="H12" s="459" t="s">
        <v>175</v>
      </c>
      <c r="I12" s="459" t="s">
        <v>176</v>
      </c>
      <c r="J12" s="459" t="s">
        <v>177</v>
      </c>
      <c r="K12" s="459" t="s">
        <v>178</v>
      </c>
    </row>
    <row r="13" spans="1:11">
      <c r="A13" s="516" t="s">
        <v>262</v>
      </c>
      <c r="B13" s="459"/>
      <c r="C13" s="459"/>
      <c r="D13" s="459"/>
      <c r="E13" s="459"/>
      <c r="F13" s="459"/>
      <c r="G13" s="459"/>
      <c r="H13" s="459"/>
      <c r="I13" s="459"/>
      <c r="J13" s="459"/>
      <c r="K13" s="459"/>
    </row>
    <row r="14" spans="1:11">
      <c r="A14" s="445" t="s">
        <v>179</v>
      </c>
      <c r="B14" s="460"/>
      <c r="C14" s="460"/>
      <c r="D14" s="461">
        <v>6517136.0171570964</v>
      </c>
      <c r="E14" s="461">
        <v>105573.5685453015</v>
      </c>
      <c r="F14" s="461">
        <v>5362762.859427697</v>
      </c>
      <c r="G14" s="461">
        <v>737166.55195654207</v>
      </c>
      <c r="H14" s="461">
        <v>85244.430533283157</v>
      </c>
      <c r="I14" s="461">
        <v>14660.703273572326</v>
      </c>
      <c r="J14" s="461">
        <v>6318.7206196406487</v>
      </c>
      <c r="K14" s="461">
        <v>205409.18280106012</v>
      </c>
    </row>
    <row r="15" spans="1:11">
      <c r="A15" s="478" t="s">
        <v>240</v>
      </c>
      <c r="D15" s="462">
        <v>1.0000000000000002</v>
      </c>
      <c r="E15" s="463">
        <v>1.619938087334178E-2</v>
      </c>
      <c r="F15" s="463">
        <v>0.82287109633888544</v>
      </c>
      <c r="G15" s="463">
        <v>0.1131120403219862</v>
      </c>
      <c r="H15" s="463">
        <v>1.3080044717321776E-2</v>
      </c>
      <c r="I15" s="463">
        <v>2.2495622670719731E-3</v>
      </c>
      <c r="J15" s="463">
        <v>9.6955481717826719E-4</v>
      </c>
      <c r="K15" s="463">
        <v>3.1518320664214658E-2</v>
      </c>
    </row>
    <row r="16" spans="1:11">
      <c r="A16" s="649" t="s">
        <v>82</v>
      </c>
    </row>
    <row r="17" spans="1:11">
      <c r="B17" s="445" t="s">
        <v>482</v>
      </c>
      <c r="D17" s="461">
        <v>4303.9977649606953</v>
      </c>
      <c r="E17" s="461"/>
      <c r="F17" s="461">
        <v>4303.9977649606953</v>
      </c>
      <c r="G17" s="461"/>
      <c r="H17" s="461"/>
      <c r="I17" s="461"/>
      <c r="J17" s="461"/>
      <c r="K17" s="461"/>
    </row>
    <row r="18" spans="1:11">
      <c r="B18" s="445" t="s">
        <v>483</v>
      </c>
      <c r="D18" s="461">
        <v>0</v>
      </c>
      <c r="E18" s="461"/>
      <c r="F18" s="461">
        <v>0</v>
      </c>
      <c r="G18" s="461"/>
      <c r="H18" s="461"/>
      <c r="I18" s="461"/>
      <c r="J18" s="461"/>
      <c r="K18" s="461"/>
    </row>
    <row r="19" spans="1:11">
      <c r="B19" s="445" t="s">
        <v>479</v>
      </c>
      <c r="D19" s="461">
        <v>4303.9977649606953</v>
      </c>
      <c r="E19" s="461"/>
      <c r="F19" s="461">
        <v>4303.9977649606953</v>
      </c>
      <c r="G19" s="461"/>
      <c r="H19" s="461"/>
      <c r="I19" s="461"/>
      <c r="J19" s="461"/>
      <c r="K19" s="461"/>
    </row>
    <row r="20" spans="1:11">
      <c r="A20" s="512" t="s">
        <v>180</v>
      </c>
      <c r="D20" s="461">
        <v>137906.31631419947</v>
      </c>
      <c r="E20" s="461">
        <v>2233.9969428132645</v>
      </c>
      <c r="F20" s="461">
        <v>113479.12169752244</v>
      </c>
      <c r="G20" s="461">
        <v>15598.864811588313</v>
      </c>
      <c r="H20" s="461">
        <v>1803.8207841908506</v>
      </c>
      <c r="I20" s="461">
        <v>310.22884557131522</v>
      </c>
      <c r="J20" s="461">
        <v>133.70773330174197</v>
      </c>
      <c r="K20" s="461">
        <v>4346.5754992115562</v>
      </c>
    </row>
    <row r="21" spans="1:11">
      <c r="A21" s="650" t="s">
        <v>181</v>
      </c>
      <c r="B21" s="460"/>
      <c r="C21" s="460"/>
      <c r="D21" s="464">
        <v>142210.31407916016</v>
      </c>
      <c r="E21" s="464">
        <v>2233.9969428132645</v>
      </c>
      <c r="F21" s="464">
        <v>117783.11946248313</v>
      </c>
      <c r="G21" s="464">
        <v>15598.864811588313</v>
      </c>
      <c r="H21" s="464">
        <v>1803.8207841908506</v>
      </c>
      <c r="I21" s="464">
        <v>310.22884557131522</v>
      </c>
      <c r="J21" s="464">
        <v>133.70773330174197</v>
      </c>
      <c r="K21" s="464">
        <v>4346.5754992115562</v>
      </c>
    </row>
    <row r="22" spans="1:11">
      <c r="A22" s="649" t="s">
        <v>185</v>
      </c>
    </row>
    <row r="23" spans="1:11">
      <c r="B23" s="445" t="s">
        <v>478</v>
      </c>
      <c r="F23" s="461">
        <v>27441.719077461217</v>
      </c>
      <c r="G23" s="461"/>
    </row>
    <row r="24" spans="1:11">
      <c r="B24" s="445" t="s">
        <v>479</v>
      </c>
      <c r="F24" s="465">
        <v>4303.9977649606953</v>
      </c>
      <c r="G24" s="465"/>
    </row>
    <row r="25" spans="1:11">
      <c r="B25" s="445" t="s">
        <v>480</v>
      </c>
      <c r="F25" s="466">
        <v>1721.9998974650064</v>
      </c>
      <c r="G25" s="466"/>
    </row>
    <row r="26" spans="1:11">
      <c r="B26" s="445" t="s">
        <v>481</v>
      </c>
      <c r="D26" s="465">
        <v>21415.721415035514</v>
      </c>
      <c r="F26" s="465">
        <v>21415.721415035514</v>
      </c>
      <c r="G26" s="465"/>
    </row>
    <row r="27" spans="1:11">
      <c r="A27" s="484" t="s">
        <v>463</v>
      </c>
      <c r="D27" s="465">
        <v>18607.19991522943</v>
      </c>
      <c r="E27" s="461">
        <v>301.42511841321442</v>
      </c>
      <c r="F27" s="461">
        <v>15311.326994041658</v>
      </c>
      <c r="G27" s="461">
        <v>2104.6983470906894</v>
      </c>
      <c r="H27" s="461">
        <v>243.3830069553469</v>
      </c>
      <c r="I27" s="461">
        <v>41.858054825164942</v>
      </c>
      <c r="J27" s="461">
        <v>18.04070031200974</v>
      </c>
      <c r="K27" s="461">
        <v>586.46769359134896</v>
      </c>
    </row>
    <row r="28" spans="1:11">
      <c r="A28" s="650" t="s">
        <v>186</v>
      </c>
      <c r="D28" s="464">
        <v>40022.921330264944</v>
      </c>
      <c r="E28" s="464">
        <v>301.42511841321442</v>
      </c>
      <c r="F28" s="464">
        <v>36727.048409077172</v>
      </c>
      <c r="G28" s="464">
        <v>2104.6983470906894</v>
      </c>
      <c r="H28" s="464">
        <v>243.3830069553469</v>
      </c>
      <c r="I28" s="464">
        <v>41.858054825164942</v>
      </c>
      <c r="J28" s="464">
        <v>18.04070031200974</v>
      </c>
      <c r="K28" s="464">
        <v>586.46769359134896</v>
      </c>
    </row>
    <row r="29" spans="1:11">
      <c r="A29" s="649" t="s">
        <v>190</v>
      </c>
      <c r="D29" s="464"/>
      <c r="E29" s="464"/>
      <c r="F29" s="464"/>
      <c r="G29" s="464"/>
      <c r="H29" s="464"/>
      <c r="I29" s="464"/>
      <c r="J29" s="464"/>
      <c r="K29" s="464"/>
    </row>
    <row r="30" spans="1:11">
      <c r="A30" s="489" t="s">
        <v>650</v>
      </c>
      <c r="D30" s="461">
        <v>268466.59388590092</v>
      </c>
      <c r="E30" s="466">
        <v>3392</v>
      </c>
      <c r="F30" s="466">
        <v>221163.28419599999</v>
      </c>
      <c r="G30" s="466">
        <v>27535</v>
      </c>
      <c r="H30" s="466">
        <v>3332</v>
      </c>
      <c r="I30" s="466">
        <v>437</v>
      </c>
      <c r="J30" s="466">
        <v>187</v>
      </c>
      <c r="K30" s="466">
        <v>12420.309689900954</v>
      </c>
    </row>
    <row r="31" spans="1:11">
      <c r="A31" s="489" t="s">
        <v>187</v>
      </c>
      <c r="D31" s="467">
        <v>0.99999999999999989</v>
      </c>
      <c r="E31" s="468">
        <v>1.5578292955209664E-2</v>
      </c>
      <c r="F31" s="468">
        <v>0.6201737108059433</v>
      </c>
      <c r="G31" s="468">
        <v>8.2313796355095822E-2</v>
      </c>
      <c r="H31" s="468">
        <v>1.1409740256588578E-2</v>
      </c>
      <c r="I31" s="468">
        <v>4.4536763276364789E-3</v>
      </c>
      <c r="J31" s="468">
        <v>1.5802822053224961E-3</v>
      </c>
      <c r="K31" s="468">
        <v>0.26449050109420358</v>
      </c>
    </row>
    <row r="32" spans="1:11">
      <c r="A32" s="489" t="s">
        <v>188</v>
      </c>
      <c r="D32" s="461">
        <v>76836.326117504796</v>
      </c>
      <c r="E32" s="461">
        <v>1196.9787978605173</v>
      </c>
      <c r="F32" s="461">
        <v>47651.869492988568</v>
      </c>
      <c r="G32" s="461">
        <v>6324.6897007100206</v>
      </c>
      <c r="H32" s="461">
        <v>876.68252327126288</v>
      </c>
      <c r="I32" s="461">
        <v>342.20412673208762</v>
      </c>
      <c r="J32" s="461">
        <v>121.42307888584898</v>
      </c>
      <c r="K32" s="461">
        <v>20322.478397056486</v>
      </c>
    </row>
    <row r="33" spans="1:11">
      <c r="A33" s="650" t="s">
        <v>189</v>
      </c>
      <c r="D33" s="464">
        <v>345302.9200034056</v>
      </c>
      <c r="E33" s="464">
        <v>4588.9787978605173</v>
      </c>
      <c r="F33" s="464">
        <v>268815.15368898853</v>
      </c>
      <c r="G33" s="464">
        <v>33859.68970071002</v>
      </c>
      <c r="H33" s="464">
        <v>4208.6825232712627</v>
      </c>
      <c r="I33" s="464">
        <v>779.20412673208762</v>
      </c>
      <c r="J33" s="464">
        <v>308.42307888584901</v>
      </c>
      <c r="K33" s="464">
        <v>32742.78808695744</v>
      </c>
    </row>
    <row r="34" spans="1:11" ht="9" customHeight="1"/>
    <row r="35" spans="1:11">
      <c r="A35" s="516" t="s">
        <v>239</v>
      </c>
    </row>
    <row r="36" spans="1:11">
      <c r="A36" s="651" t="s">
        <v>499</v>
      </c>
    </row>
    <row r="37" spans="1:11">
      <c r="A37" s="652" t="s">
        <v>286</v>
      </c>
      <c r="D37" s="466">
        <v>53823.005644218851</v>
      </c>
      <c r="E37" s="466">
        <v>618.34147943144103</v>
      </c>
      <c r="F37" s="466">
        <v>48832.749636183224</v>
      </c>
      <c r="G37" s="466">
        <v>2251.9919741894219</v>
      </c>
      <c r="H37" s="466">
        <v>2106.6816600118982</v>
      </c>
      <c r="I37" s="466">
        <v>13.240894402875242</v>
      </c>
      <c r="J37" s="466">
        <v>0</v>
      </c>
    </row>
    <row r="38" spans="1:11">
      <c r="A38" s="652" t="s">
        <v>287</v>
      </c>
      <c r="D38" s="466">
        <v>132737.47345136068</v>
      </c>
      <c r="E38" s="466">
        <v>3338.1230956561526</v>
      </c>
      <c r="F38" s="466">
        <v>108435.56239276817</v>
      </c>
      <c r="G38" s="466">
        <v>18653.483372581512</v>
      </c>
      <c r="H38" s="466">
        <v>791.08340744031898</v>
      </c>
      <c r="I38" s="466">
        <v>1117.8722943054693</v>
      </c>
      <c r="J38" s="466">
        <v>401.34888860906045</v>
      </c>
    </row>
    <row r="39" spans="1:11">
      <c r="A39" s="653" t="s">
        <v>288</v>
      </c>
      <c r="B39" s="460"/>
      <c r="C39" s="460"/>
      <c r="D39" s="466">
        <v>186560.47909557953</v>
      </c>
    </row>
    <row r="40" spans="1:11">
      <c r="A40" s="446" t="s">
        <v>242</v>
      </c>
    </row>
    <row r="41" spans="1:11">
      <c r="A41" s="484" t="s">
        <v>243</v>
      </c>
      <c r="D41" s="461">
        <v>26097.434659999992</v>
      </c>
      <c r="F41" s="461">
        <v>260.92183999999997</v>
      </c>
      <c r="K41" s="461">
        <v>62053.41891</v>
      </c>
    </row>
    <row r="42" spans="1:11">
      <c r="A42" s="484" t="s">
        <v>244</v>
      </c>
      <c r="D42" s="461">
        <v>177560.31468000001</v>
      </c>
    </row>
    <row r="43" spans="1:11" ht="5.25" customHeight="1">
      <c r="A43" s="484"/>
      <c r="D43" s="461"/>
    </row>
    <row r="44" spans="1:11">
      <c r="A44" s="654" t="s">
        <v>256</v>
      </c>
      <c r="D44" s="465">
        <v>203657.74934000001</v>
      </c>
    </row>
    <row r="45" spans="1:11">
      <c r="A45" s="655" t="s">
        <v>257</v>
      </c>
      <c r="D45" s="465">
        <v>58755.596283604624</v>
      </c>
      <c r="E45" s="469">
        <v>675.00916933246162</v>
      </c>
      <c r="F45" s="465">
        <v>53308.009998696602</v>
      </c>
      <c r="G45" s="465">
        <v>2458.3749957041591</v>
      </c>
      <c r="H45" s="465">
        <v>2299.7477683045058</v>
      </c>
      <c r="I45" s="465">
        <v>14.454351566907349</v>
      </c>
      <c r="J45" s="465">
        <v>0</v>
      </c>
    </row>
    <row r="46" spans="1:11">
      <c r="A46" s="655" t="s">
        <v>259</v>
      </c>
      <c r="D46" s="461">
        <v>144902.15305639539</v>
      </c>
      <c r="E46" s="469">
        <v>3644.0442261777721</v>
      </c>
      <c r="F46" s="465">
        <v>118373.10180798937</v>
      </c>
      <c r="G46" s="465">
        <v>20362.975370923974</v>
      </c>
      <c r="H46" s="465">
        <v>863.58197127577489</v>
      </c>
      <c r="I46" s="465">
        <v>1220.3193120615667</v>
      </c>
      <c r="J46" s="465">
        <v>438.13036796692251</v>
      </c>
    </row>
    <row r="47" spans="1:11">
      <c r="A47" s="656" t="s">
        <v>258</v>
      </c>
      <c r="B47" s="460"/>
      <c r="C47" s="460"/>
      <c r="D47" s="465">
        <v>203657.74934000004</v>
      </c>
      <c r="E47" s="465">
        <v>4319.0533955102337</v>
      </c>
      <c r="F47" s="465">
        <v>171681.11180668598</v>
      </c>
      <c r="G47" s="465">
        <v>22821.350366628132</v>
      </c>
      <c r="H47" s="465">
        <v>3163.3297395802806</v>
      </c>
      <c r="I47" s="465">
        <v>1234.773663628474</v>
      </c>
      <c r="J47" s="465">
        <v>438.13036796692251</v>
      </c>
    </row>
    <row r="48" spans="1:11">
      <c r="A48" s="657" t="s">
        <v>25</v>
      </c>
      <c r="D48" s="465">
        <v>11276.091590000002</v>
      </c>
      <c r="K48" s="461">
        <v>11276.091590000002</v>
      </c>
    </row>
    <row r="49" spans="1:11">
      <c r="A49" s="658" t="s">
        <v>260</v>
      </c>
      <c r="B49" s="460"/>
      <c r="C49" s="460"/>
      <c r="D49" s="464">
        <v>277248.18168000004</v>
      </c>
      <c r="E49" s="464">
        <v>4319.0533955102337</v>
      </c>
      <c r="F49" s="464">
        <v>171942.03364668597</v>
      </c>
      <c r="G49" s="464">
        <v>22821.350366628132</v>
      </c>
      <c r="H49" s="464">
        <v>3163.3297395802806</v>
      </c>
      <c r="I49" s="464">
        <v>1234.773663628474</v>
      </c>
      <c r="J49" s="464">
        <v>438.13036796692251</v>
      </c>
      <c r="K49" s="464">
        <v>73329.510500000004</v>
      </c>
    </row>
    <row r="50" spans="1:11">
      <c r="A50" s="446" t="s">
        <v>261</v>
      </c>
    </row>
    <row r="51" spans="1:11">
      <c r="A51" s="659" t="s">
        <v>47</v>
      </c>
      <c r="D51" s="461">
        <v>14490.779830000003</v>
      </c>
      <c r="E51" s="461">
        <v>225.74161334118332</v>
      </c>
      <c r="F51" s="461">
        <v>8986.8006996430177</v>
      </c>
      <c r="G51" s="461">
        <v>1192.7910999531503</v>
      </c>
      <c r="H51" s="461">
        <v>165.33603397571284</v>
      </c>
      <c r="I51" s="461">
        <v>64.537243097863168</v>
      </c>
      <c r="J51" s="461">
        <v>22.89952150659515</v>
      </c>
      <c r="K51" s="461">
        <v>3832.673618482479</v>
      </c>
    </row>
    <row r="52" spans="1:11">
      <c r="A52" s="659" t="s">
        <v>48</v>
      </c>
      <c r="D52" s="461">
        <v>54531.88051000001</v>
      </c>
      <c r="E52" s="461">
        <v>849.51360998326834</v>
      </c>
      <c r="F52" s="461">
        <v>33819.238693113002</v>
      </c>
      <c r="G52" s="461">
        <v>4488.7261071605599</v>
      </c>
      <c r="H52" s="461">
        <v>622.19459232242525</v>
      </c>
      <c r="I52" s="461">
        <v>242.86734532888812</v>
      </c>
      <c r="J52" s="461">
        <v>86.175760392725664</v>
      </c>
      <c r="K52" s="461">
        <v>14423.164401699136</v>
      </c>
    </row>
    <row r="53" spans="1:11">
      <c r="A53" s="659" t="s">
        <v>263</v>
      </c>
      <c r="D53" s="461">
        <v>56569.629559999987</v>
      </c>
      <c r="E53" s="461">
        <v>845.42818723325422</v>
      </c>
      <c r="F53" s="461">
        <v>33656.597523482153</v>
      </c>
      <c r="G53" s="461">
        <v>4467.1392325757761</v>
      </c>
      <c r="H53" s="461">
        <v>619.20237664449178</v>
      </c>
      <c r="I53" s="461">
        <v>241.69936430282578</v>
      </c>
      <c r="J53" s="461">
        <v>85.761329819900411</v>
      </c>
      <c r="K53" s="461">
        <v>16653.80154594158</v>
      </c>
    </row>
    <row r="54" spans="1:11">
      <c r="A54" s="659" t="s">
        <v>281</v>
      </c>
      <c r="D54" s="461">
        <v>103195.49569999998</v>
      </c>
      <c r="E54" s="461">
        <v>1607.6096636726788</v>
      </c>
      <c r="F54" s="461">
        <v>63999.133506727754</v>
      </c>
      <c r="G54" s="461">
        <v>8494.4130178129653</v>
      </c>
      <c r="H54" s="461">
        <v>1177.4338015869034</v>
      </c>
      <c r="I54" s="461">
        <v>459.599336317802</v>
      </c>
      <c r="J54" s="461">
        <v>163.07800552414415</v>
      </c>
      <c r="K54" s="461">
        <v>27294.228368357726</v>
      </c>
    </row>
    <row r="55" spans="1:11">
      <c r="A55" s="660" t="s">
        <v>279</v>
      </c>
      <c r="D55" s="464">
        <v>228787.7856</v>
      </c>
      <c r="E55" s="464">
        <v>3528.2930742303847</v>
      </c>
      <c r="F55" s="464">
        <v>140461.77042296593</v>
      </c>
      <c r="G55" s="464">
        <v>18643.069457502454</v>
      </c>
      <c r="H55" s="464">
        <v>2584.1668045295332</v>
      </c>
      <c r="I55" s="464">
        <v>1008.703289047379</v>
      </c>
      <c r="J55" s="464">
        <v>357.91461724336534</v>
      </c>
      <c r="K55" s="464">
        <v>62203.867934480921</v>
      </c>
    </row>
    <row r="56" spans="1:11">
      <c r="A56" s="516" t="s">
        <v>252</v>
      </c>
      <c r="D56" s="464">
        <v>506035.96728000004</v>
      </c>
      <c r="E56" s="464">
        <v>7847.346469740618</v>
      </c>
      <c r="F56" s="464">
        <v>312403.80406965187</v>
      </c>
      <c r="G56" s="464">
        <v>41464.419824130586</v>
      </c>
      <c r="H56" s="464">
        <v>5747.4965441098138</v>
      </c>
      <c r="I56" s="464">
        <v>2243.4769526758528</v>
      </c>
      <c r="J56" s="464">
        <v>796.0449852102879</v>
      </c>
      <c r="K56" s="464">
        <v>135533.37843448092</v>
      </c>
    </row>
    <row r="57" spans="1:11">
      <c r="A57" s="525" t="s">
        <v>178</v>
      </c>
    </row>
    <row r="58" spans="1:11">
      <c r="A58" s="484" t="s">
        <v>268</v>
      </c>
      <c r="D58" s="461"/>
    </row>
    <row r="59" spans="1:11">
      <c r="A59" s="484" t="s">
        <v>266</v>
      </c>
      <c r="D59" s="461">
        <v>9502</v>
      </c>
      <c r="E59" s="461"/>
      <c r="F59" s="471">
        <v>9191.098531973128</v>
      </c>
      <c r="G59" s="461"/>
      <c r="H59" s="461"/>
      <c r="I59" s="471">
        <v>310.90146802687235</v>
      </c>
      <c r="J59" s="461"/>
    </row>
    <row r="60" spans="1:11">
      <c r="A60" s="484" t="s">
        <v>267</v>
      </c>
      <c r="D60" s="461">
        <v>364.95499999999998</v>
      </c>
      <c r="E60" s="461"/>
      <c r="G60" s="465">
        <v>364.95499999999998</v>
      </c>
    </row>
    <row r="61" spans="1:11">
      <c r="A61" s="484" t="s">
        <v>265</v>
      </c>
      <c r="D61" s="461">
        <v>370</v>
      </c>
      <c r="E61" s="461"/>
      <c r="F61" s="465">
        <v>370</v>
      </c>
    </row>
    <row r="62" spans="1:11">
      <c r="A62" s="484" t="s">
        <v>451</v>
      </c>
      <c r="D62" s="461">
        <v>922.84400000000005</v>
      </c>
      <c r="E62" s="461"/>
      <c r="F62" s="471">
        <v>495.2702216507551</v>
      </c>
      <c r="G62" s="471">
        <v>427.57377834924483</v>
      </c>
    </row>
    <row r="63" spans="1:11">
      <c r="A63" s="484" t="s">
        <v>264</v>
      </c>
      <c r="D63" s="461">
        <v>2295.181</v>
      </c>
      <c r="E63" s="461">
        <v>57.71992268346618</v>
      </c>
      <c r="F63" s="461">
        <v>1874.9734800353381</v>
      </c>
      <c r="G63" s="461">
        <v>322.53981869146486</v>
      </c>
      <c r="H63" s="461">
        <v>13.678726579330309</v>
      </c>
      <c r="I63" s="461">
        <v>19.329275927920111</v>
      </c>
      <c r="J63" s="461">
        <v>6.9397760824804156</v>
      </c>
    </row>
    <row r="64" spans="1:11">
      <c r="A64" s="484" t="s">
        <v>253</v>
      </c>
      <c r="B64" s="460"/>
      <c r="D64" s="461">
        <v>90790.277320830006</v>
      </c>
      <c r="E64" s="461"/>
      <c r="K64" s="461">
        <v>90790.277320830006</v>
      </c>
    </row>
    <row r="65" spans="1:11">
      <c r="A65" s="484" t="s">
        <v>616</v>
      </c>
      <c r="B65" s="460"/>
      <c r="D65" s="461">
        <v>0</v>
      </c>
      <c r="E65" s="461"/>
      <c r="F65" s="461"/>
      <c r="G65" s="461"/>
      <c r="H65" s="461"/>
      <c r="I65" s="461"/>
      <c r="J65" s="461"/>
      <c r="K65" s="461">
        <v>0</v>
      </c>
    </row>
    <row r="66" spans="1:11">
      <c r="A66" s="650" t="s">
        <v>277</v>
      </c>
      <c r="D66" s="471">
        <v>104245.25732083</v>
      </c>
      <c r="E66" s="471">
        <v>57.71992268346618</v>
      </c>
      <c r="F66" s="471">
        <v>11931.342233659221</v>
      </c>
      <c r="G66" s="471">
        <v>1115.0685970407096</v>
      </c>
      <c r="H66" s="471">
        <v>13.678726579330309</v>
      </c>
      <c r="I66" s="471">
        <v>330.23074395479244</v>
      </c>
      <c r="J66" s="471">
        <v>6.9397760824804156</v>
      </c>
      <c r="K66" s="471">
        <v>90790.277320830006</v>
      </c>
    </row>
    <row r="67" spans="1:11">
      <c r="A67" s="484" t="s">
        <v>269</v>
      </c>
      <c r="E67" s="461"/>
    </row>
    <row r="68" spans="1:11">
      <c r="A68" s="484" t="s">
        <v>43</v>
      </c>
      <c r="D68" s="461">
        <v>80.760000000000005</v>
      </c>
      <c r="E68" s="461">
        <v>1.3082619993310822</v>
      </c>
      <c r="F68" s="461">
        <v>66.455069740328398</v>
      </c>
      <c r="G68" s="461">
        <v>9.1349283764036056</v>
      </c>
      <c r="H68" s="461">
        <v>1.0563444113709066</v>
      </c>
      <c r="I68" s="461">
        <v>0.18167464868873257</v>
      </c>
      <c r="J68" s="461">
        <v>7.8301247035316865E-2</v>
      </c>
      <c r="K68" s="461">
        <v>2.5454195768419758</v>
      </c>
    </row>
    <row r="69" spans="1:11">
      <c r="A69" s="484" t="s">
        <v>44</v>
      </c>
      <c r="D69" s="461">
        <v>4296.4247999999998</v>
      </c>
      <c r="E69" s="461"/>
      <c r="F69" s="465">
        <v>4296.4247999999998</v>
      </c>
      <c r="G69" s="465"/>
      <c r="H69" s="465"/>
      <c r="I69" s="465"/>
      <c r="J69" s="465"/>
      <c r="K69" s="465"/>
    </row>
    <row r="70" spans="1:11">
      <c r="A70" s="484" t="s">
        <v>45</v>
      </c>
      <c r="D70" s="461">
        <v>0.98519000000000001</v>
      </c>
      <c r="E70" s="470">
        <v>1.5347578436543009E-2</v>
      </c>
      <c r="F70" s="461">
        <v>0.61098893814890731</v>
      </c>
      <c r="G70" s="461">
        <v>8.1094729031076854E-2</v>
      </c>
      <c r="H70" s="461">
        <v>1.1240762003388501E-2</v>
      </c>
      <c r="I70" s="461">
        <v>4.3877173812241826E-3</v>
      </c>
      <c r="J70" s="461">
        <v>1.5568782258616699E-3</v>
      </c>
      <c r="K70" s="461">
        <v>0.2605733967729984</v>
      </c>
    </row>
    <row r="71" spans="1:11">
      <c r="A71" s="484" t="s">
        <v>46</v>
      </c>
      <c r="D71" s="461">
        <v>298.21006</v>
      </c>
      <c r="E71" s="461"/>
      <c r="K71" s="465">
        <v>298.21006</v>
      </c>
    </row>
    <row r="72" spans="1:11">
      <c r="A72" s="650" t="s">
        <v>278</v>
      </c>
      <c r="D72" s="471">
        <v>4676.3800500000007</v>
      </c>
      <c r="E72" s="471">
        <v>1.3236095777676253</v>
      </c>
      <c r="F72" s="471">
        <v>4363.4908586784768</v>
      </c>
      <c r="G72" s="471">
        <v>9.2160231054346831</v>
      </c>
      <c r="H72" s="471">
        <v>1.0675851733742951</v>
      </c>
      <c r="I72" s="471">
        <v>0.18606236606995674</v>
      </c>
      <c r="J72" s="471">
        <v>7.9858125261178539E-2</v>
      </c>
      <c r="K72" s="471">
        <v>301.01605297361499</v>
      </c>
    </row>
    <row r="73" spans="1:11">
      <c r="A73" s="661" t="s">
        <v>270</v>
      </c>
      <c r="B73" s="661"/>
      <c r="C73" s="661"/>
      <c r="D73" s="464">
        <v>108921.63737083001</v>
      </c>
      <c r="E73" s="464">
        <v>59.043532261233807</v>
      </c>
      <c r="F73" s="464">
        <v>16294.833092337698</v>
      </c>
      <c r="G73" s="464">
        <v>1124.2846201461443</v>
      </c>
      <c r="H73" s="464">
        <v>14.746311752704605</v>
      </c>
      <c r="I73" s="464">
        <v>330.41680632086241</v>
      </c>
      <c r="J73" s="464">
        <v>7.0196342077415945</v>
      </c>
      <c r="K73" s="464">
        <v>91091.293373803623</v>
      </c>
    </row>
    <row r="74" spans="1:11">
      <c r="A74" s="525" t="s">
        <v>612</v>
      </c>
    </row>
    <row r="75" spans="1:11">
      <c r="A75" s="660" t="s">
        <v>613</v>
      </c>
      <c r="D75" s="464">
        <v>675</v>
      </c>
      <c r="E75" s="464"/>
      <c r="F75" s="464">
        <v>586.38306326053373</v>
      </c>
      <c r="G75" s="464">
        <v>77.828865065207609</v>
      </c>
      <c r="H75" s="464">
        <v>10.788071674258596</v>
      </c>
      <c r="I75" s="464"/>
      <c r="J75" s="464"/>
      <c r="K75" s="464"/>
    </row>
    <row r="76" spans="1:11">
      <c r="D76" s="558"/>
    </row>
  </sheetData>
  <customSheetViews>
    <customSheetView guid="{2226E858-00AE-4A92-8CF6-5B54D2FA62D4}" showPageBreaks="1" fitToPage="1" topLeftCell="A22">
      <selection activeCell="D32" sqref="D32"/>
      <pageMargins left="0.25" right="0.25" top="0.75" bottom="0.75" header="0.3" footer="0.3"/>
      <pageSetup scale="55" orientation="portrait" r:id="rId1"/>
    </customSheetView>
  </customSheetViews>
  <mergeCells count="3">
    <mergeCell ref="A1:K1"/>
    <mergeCell ref="A10:B10"/>
    <mergeCell ref="A12:C12"/>
  </mergeCells>
  <hyperlinks>
    <hyperlink ref="I5" location="'Revenue Requirement'!A1" display="Revenue Requirement"/>
    <hyperlink ref="I4" location="AFUDC!A1" display="AFUDC"/>
    <hyperlink ref="I3" location="'Repayment Inputs'!A1" display="Repayment Inputs"/>
    <hyperlink ref="I6" location="'Expense Input File'!A1" display="Expense Input"/>
    <hyperlink ref="G4" r:id="rId2"/>
    <hyperlink ref="G5" r:id="rId3"/>
    <hyperlink ref="G6" r:id="rId4"/>
    <hyperlink ref="G7" r:id="rId5"/>
  </hyperlinks>
  <pageMargins left="0.25" right="0.25" top="0.75" bottom="0.75" header="0.3" footer="0.3"/>
  <pageSetup scale="56"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fitToPage="1"/>
  </sheetPr>
  <dimension ref="A1:K76"/>
  <sheetViews>
    <sheetView workbookViewId="0">
      <pane ySplit="12" topLeftCell="A13" activePane="bottomLeft" state="frozen"/>
      <selection activeCell="G18" sqref="G18"/>
      <selection pane="bottomLeft" sqref="A1:XFD1048576"/>
    </sheetView>
  </sheetViews>
  <sheetFormatPr defaultColWidth="9.140625" defaultRowHeight="14.25"/>
  <cols>
    <col min="1" max="2" width="9.140625" style="445"/>
    <col min="3" max="3" width="36.7109375" style="445" customWidth="1"/>
    <col min="4" max="11" width="15.7109375" style="445" customWidth="1"/>
    <col min="12" max="16384" width="9.140625" style="445"/>
  </cols>
  <sheetData>
    <row r="1" spans="1:11" ht="18" hidden="1">
      <c r="A1" s="515" t="s">
        <v>649</v>
      </c>
      <c r="B1" s="515"/>
      <c r="C1" s="515"/>
      <c r="D1" s="515"/>
      <c r="E1" s="515"/>
      <c r="F1" s="515"/>
      <c r="G1" s="515"/>
      <c r="H1" s="515"/>
      <c r="I1" s="515"/>
      <c r="J1" s="515"/>
      <c r="K1" s="515"/>
    </row>
    <row r="2" spans="1:11" ht="18" hidden="1">
      <c r="B2" s="442" t="s">
        <v>115</v>
      </c>
      <c r="C2" s="443"/>
      <c r="D2" s="444"/>
      <c r="F2" s="446" t="s">
        <v>377</v>
      </c>
      <c r="G2" s="447"/>
      <c r="H2" s="448"/>
      <c r="I2" s="446" t="s">
        <v>380</v>
      </c>
      <c r="J2" s="448"/>
      <c r="K2" s="458"/>
    </row>
    <row r="3" spans="1:11" ht="18" hidden="1">
      <c r="B3" s="442" t="s">
        <v>74</v>
      </c>
      <c r="C3" s="449"/>
      <c r="D3" s="444"/>
      <c r="F3" s="446" t="s">
        <v>378</v>
      </c>
      <c r="G3" s="446" t="s">
        <v>237</v>
      </c>
      <c r="H3" s="448"/>
      <c r="I3" s="450" t="s">
        <v>241</v>
      </c>
      <c r="J3" s="448"/>
      <c r="K3" s="458"/>
    </row>
    <row r="4" spans="1:11" ht="18" hidden="1" customHeight="1">
      <c r="B4" s="442" t="s">
        <v>10</v>
      </c>
      <c r="C4" s="451"/>
      <c r="D4" s="444"/>
      <c r="F4" s="452" t="s">
        <v>643</v>
      </c>
      <c r="G4" s="450" t="s">
        <v>367</v>
      </c>
      <c r="H4" s="448"/>
      <c r="I4" s="450" t="s">
        <v>88</v>
      </c>
      <c r="J4" s="444"/>
      <c r="K4" s="458"/>
    </row>
    <row r="5" spans="1:11" ht="18" hidden="1" customHeight="1">
      <c r="B5" s="453" t="s">
        <v>9</v>
      </c>
      <c r="C5" s="451"/>
      <c r="F5" s="452" t="s">
        <v>643</v>
      </c>
      <c r="G5" s="646" t="s">
        <v>369</v>
      </c>
      <c r="H5" s="448"/>
      <c r="I5" s="454" t="s">
        <v>368</v>
      </c>
      <c r="K5" s="458"/>
    </row>
    <row r="6" spans="1:11" hidden="1">
      <c r="B6" s="453" t="s">
        <v>364</v>
      </c>
      <c r="C6" s="449"/>
      <c r="E6" s="455"/>
      <c r="F6" s="452" t="s">
        <v>643</v>
      </c>
      <c r="G6" s="647" t="s">
        <v>447</v>
      </c>
      <c r="H6" s="448"/>
      <c r="I6" s="456" t="s">
        <v>365</v>
      </c>
      <c r="K6" s="458"/>
    </row>
    <row r="7" spans="1:11" hidden="1">
      <c r="B7" s="453" t="s">
        <v>363</v>
      </c>
      <c r="C7" s="449"/>
      <c r="E7" s="455"/>
      <c r="F7" s="452" t="s">
        <v>643</v>
      </c>
      <c r="G7" s="647" t="s">
        <v>450</v>
      </c>
      <c r="H7" s="448"/>
      <c r="I7" s="457"/>
      <c r="K7" s="458"/>
    </row>
    <row r="8" spans="1:11" hidden="1">
      <c r="B8" s="453" t="s">
        <v>271</v>
      </c>
      <c r="C8" s="449">
        <v>2023</v>
      </c>
      <c r="E8" s="458"/>
      <c r="F8" s="458"/>
      <c r="G8" s="455"/>
      <c r="H8" s="454"/>
      <c r="I8" s="458"/>
      <c r="J8" s="458"/>
      <c r="K8" s="458"/>
    </row>
    <row r="9" spans="1:11" hidden="1">
      <c r="B9" s="453"/>
      <c r="C9" s="449"/>
      <c r="E9" s="458"/>
      <c r="F9" s="458"/>
      <c r="G9" s="458"/>
      <c r="H9" s="458"/>
      <c r="I9" s="458"/>
      <c r="J9" s="458"/>
      <c r="K9" s="458"/>
    </row>
    <row r="10" spans="1:11" hidden="1">
      <c r="A10" s="648"/>
      <c r="B10" s="648"/>
      <c r="C10" s="449"/>
    </row>
    <row r="11" spans="1:11" hidden="1"/>
    <row r="12" spans="1:11" ht="29.25" customHeight="1" collapsed="1">
      <c r="A12" s="598">
        <v>2023</v>
      </c>
      <c r="B12" s="598"/>
      <c r="C12" s="598"/>
      <c r="D12" s="459" t="s">
        <v>171</v>
      </c>
      <c r="E12" s="459" t="s">
        <v>172</v>
      </c>
      <c r="F12" s="459" t="s">
        <v>173</v>
      </c>
      <c r="G12" s="459" t="s">
        <v>174</v>
      </c>
      <c r="H12" s="459" t="s">
        <v>175</v>
      </c>
      <c r="I12" s="459" t="s">
        <v>176</v>
      </c>
      <c r="J12" s="459" t="s">
        <v>177</v>
      </c>
      <c r="K12" s="459" t="s">
        <v>178</v>
      </c>
    </row>
    <row r="13" spans="1:11">
      <c r="A13" s="516" t="s">
        <v>262</v>
      </c>
      <c r="B13" s="459"/>
      <c r="C13" s="459"/>
      <c r="D13" s="459"/>
      <c r="E13" s="459"/>
      <c r="F13" s="459"/>
      <c r="G13" s="459"/>
      <c r="H13" s="459"/>
      <c r="I13" s="459"/>
      <c r="J13" s="459"/>
      <c r="K13" s="459"/>
    </row>
    <row r="14" spans="1:11">
      <c r="A14" s="445" t="s">
        <v>179</v>
      </c>
      <c r="B14" s="460"/>
      <c r="C14" s="460"/>
      <c r="D14" s="461">
        <v>6619780.5691555776</v>
      </c>
      <c r="E14" s="461">
        <v>101582.33779558937</v>
      </c>
      <c r="F14" s="461">
        <v>5423357.1699967328</v>
      </c>
      <c r="G14" s="461">
        <v>717586.28647830954</v>
      </c>
      <c r="H14" s="461">
        <v>81357.202524775537</v>
      </c>
      <c r="I14" s="461">
        <v>14144.586068489683</v>
      </c>
      <c r="J14" s="461">
        <v>6097.7832873717307</v>
      </c>
      <c r="K14" s="461">
        <v>275655.20300430944</v>
      </c>
    </row>
    <row r="15" spans="1:11">
      <c r="A15" s="478" t="s">
        <v>240</v>
      </c>
      <c r="D15" s="462">
        <v>1</v>
      </c>
      <c r="E15" s="463">
        <v>1.5345272661892366E-2</v>
      </c>
      <c r="F15" s="463">
        <v>0.81926539910801588</v>
      </c>
      <c r="G15" s="463">
        <v>0.10840031311941888</v>
      </c>
      <c r="H15" s="463">
        <v>1.2290015005006956E-2</v>
      </c>
      <c r="I15" s="463">
        <v>2.1367152461813357E-3</v>
      </c>
      <c r="J15" s="463">
        <v>9.2114583310871998E-4</v>
      </c>
      <c r="K15" s="463">
        <v>4.1641139026375937E-2</v>
      </c>
    </row>
    <row r="16" spans="1:11">
      <c r="A16" s="649" t="s">
        <v>82</v>
      </c>
    </row>
    <row r="17" spans="1:11">
      <c r="B17" s="445" t="s">
        <v>482</v>
      </c>
      <c r="D17" s="461">
        <v>3736.3402445712541</v>
      </c>
      <c r="E17" s="461"/>
      <c r="F17" s="461">
        <v>3736.3402445712541</v>
      </c>
      <c r="G17" s="461"/>
      <c r="H17" s="461"/>
      <c r="I17" s="461"/>
      <c r="J17" s="461"/>
      <c r="K17" s="461"/>
    </row>
    <row r="18" spans="1:11">
      <c r="B18" s="445" t="s">
        <v>483</v>
      </c>
      <c r="D18" s="461">
        <v>0</v>
      </c>
      <c r="E18" s="461"/>
      <c r="F18" s="461">
        <v>0</v>
      </c>
      <c r="G18" s="461"/>
      <c r="H18" s="461"/>
      <c r="I18" s="461"/>
      <c r="J18" s="461"/>
      <c r="K18" s="461"/>
    </row>
    <row r="19" spans="1:11">
      <c r="B19" s="445" t="s">
        <v>479</v>
      </c>
      <c r="D19" s="461">
        <v>3736.3402445712541</v>
      </c>
      <c r="E19" s="461"/>
      <c r="F19" s="461">
        <v>3736.3402445712541</v>
      </c>
      <c r="G19" s="461"/>
      <c r="H19" s="461"/>
      <c r="I19" s="461"/>
      <c r="J19" s="461"/>
      <c r="K19" s="461"/>
    </row>
    <row r="20" spans="1:11">
      <c r="A20" s="512" t="s">
        <v>180</v>
      </c>
      <c r="D20" s="461">
        <v>142183.69664888008</v>
      </c>
      <c r="E20" s="461">
        <v>2181.8475931528569</v>
      </c>
      <c r="F20" s="461">
        <v>116486.1829816978</v>
      </c>
      <c r="G20" s="461">
        <v>15412.75723721507</v>
      </c>
      <c r="H20" s="461">
        <v>1747.4397652820935</v>
      </c>
      <c r="I20" s="461">
        <v>303.80607238808415</v>
      </c>
      <c r="J20" s="461">
        <v>130.97191970411015</v>
      </c>
      <c r="K20" s="461">
        <v>5920.6910794400783</v>
      </c>
    </row>
    <row r="21" spans="1:11">
      <c r="A21" s="650" t="s">
        <v>181</v>
      </c>
      <c r="B21" s="460"/>
      <c r="C21" s="460"/>
      <c r="D21" s="464">
        <v>145920.03689345132</v>
      </c>
      <c r="E21" s="464">
        <v>2181.8475931528569</v>
      </c>
      <c r="F21" s="464">
        <v>120222.52322626906</v>
      </c>
      <c r="G21" s="464">
        <v>15412.75723721507</v>
      </c>
      <c r="H21" s="464">
        <v>1747.4397652820935</v>
      </c>
      <c r="I21" s="464">
        <v>303.80607238808415</v>
      </c>
      <c r="J21" s="464">
        <v>130.97191970411015</v>
      </c>
      <c r="K21" s="464">
        <v>5920.6910794400783</v>
      </c>
    </row>
    <row r="22" spans="1:11">
      <c r="A22" s="649" t="s">
        <v>185</v>
      </c>
    </row>
    <row r="23" spans="1:11">
      <c r="B23" s="445" t="s">
        <v>478</v>
      </c>
      <c r="F23" s="461">
        <v>26071.088679182656</v>
      </c>
      <c r="G23" s="461"/>
    </row>
    <row r="24" spans="1:11">
      <c r="B24" s="445" t="s">
        <v>479</v>
      </c>
      <c r="F24" s="465">
        <v>3736.3402445712541</v>
      </c>
      <c r="G24" s="465"/>
    </row>
    <row r="25" spans="1:11">
      <c r="B25" s="445" t="s">
        <v>480</v>
      </c>
      <c r="F25" s="466">
        <v>2771.8691754967886</v>
      </c>
      <c r="G25" s="466"/>
    </row>
    <row r="26" spans="1:11">
      <c r="B26" s="445" t="s">
        <v>481</v>
      </c>
      <c r="D26" s="465">
        <v>19562.879259114616</v>
      </c>
      <c r="F26" s="465">
        <v>19562.879259114616</v>
      </c>
      <c r="G26" s="465"/>
    </row>
    <row r="27" spans="1:11">
      <c r="A27" s="484" t="s">
        <v>463</v>
      </c>
      <c r="D27" s="465">
        <v>20449.32216804312</v>
      </c>
      <c r="E27" s="461">
        <v>313.80042441950161</v>
      </c>
      <c r="F27" s="461">
        <v>16753.422087490242</v>
      </c>
      <c r="G27" s="461">
        <v>2216.7129260957477</v>
      </c>
      <c r="H27" s="461">
        <v>251.32247628747132</v>
      </c>
      <c r="I27" s="461">
        <v>43.694378450531701</v>
      </c>
      <c r="J27" s="461">
        <v>18.836807904990696</v>
      </c>
      <c r="K27" s="461">
        <v>851.53306739463494</v>
      </c>
    </row>
    <row r="28" spans="1:11">
      <c r="A28" s="650" t="s">
        <v>186</v>
      </c>
      <c r="D28" s="464">
        <v>40012.201427157735</v>
      </c>
      <c r="E28" s="464">
        <v>313.80042441950161</v>
      </c>
      <c r="F28" s="464">
        <v>36316.301346604858</v>
      </c>
      <c r="G28" s="464">
        <v>2216.7129260957477</v>
      </c>
      <c r="H28" s="464">
        <v>251.32247628747132</v>
      </c>
      <c r="I28" s="464">
        <v>43.694378450531701</v>
      </c>
      <c r="J28" s="464">
        <v>18.836807904990696</v>
      </c>
      <c r="K28" s="464">
        <v>851.53306739463494</v>
      </c>
    </row>
    <row r="29" spans="1:11">
      <c r="A29" s="649" t="s">
        <v>190</v>
      </c>
      <c r="D29" s="464"/>
      <c r="E29" s="464"/>
      <c r="F29" s="464"/>
      <c r="G29" s="464"/>
      <c r="H29" s="464"/>
      <c r="I29" s="464"/>
      <c r="J29" s="464"/>
      <c r="K29" s="464"/>
    </row>
    <row r="30" spans="1:11">
      <c r="A30" s="489" t="s">
        <v>650</v>
      </c>
      <c r="D30" s="461">
        <v>274825.28419599996</v>
      </c>
      <c r="E30" s="466">
        <v>3392</v>
      </c>
      <c r="F30" s="466">
        <v>229126.28419599999</v>
      </c>
      <c r="G30" s="466">
        <v>27535</v>
      </c>
      <c r="H30" s="466">
        <v>3332</v>
      </c>
      <c r="I30" s="466">
        <v>437</v>
      </c>
      <c r="J30" s="466">
        <v>187</v>
      </c>
      <c r="K30" s="466">
        <v>10816</v>
      </c>
    </row>
    <row r="31" spans="1:11">
      <c r="A31" s="489" t="s">
        <v>187</v>
      </c>
      <c r="D31" s="467">
        <v>0.99999999999999989</v>
      </c>
      <c r="E31" s="468">
        <v>1.5575529700051679E-2</v>
      </c>
      <c r="F31" s="468">
        <v>0.62006705067950696</v>
      </c>
      <c r="G31" s="468">
        <v>8.229919565250246E-2</v>
      </c>
      <c r="H31" s="468">
        <v>1.1407716413301901E-2</v>
      </c>
      <c r="I31" s="468">
        <v>4.4528863409466863E-3</v>
      </c>
      <c r="J31" s="468">
        <v>1.5800018971419089E-3</v>
      </c>
      <c r="K31" s="468">
        <v>0.26461761931654837</v>
      </c>
    </row>
    <row r="32" spans="1:11">
      <c r="A32" s="489" t="s">
        <v>188</v>
      </c>
      <c r="D32" s="461">
        <v>75165.97983262378</v>
      </c>
      <c r="E32" s="461">
        <v>1170.7499513165171</v>
      </c>
      <c r="F32" s="461">
        <v>46607.947426250328</v>
      </c>
      <c r="G32" s="461">
        <v>6186.0996806571584</v>
      </c>
      <c r="H32" s="461">
        <v>857.47218185854194</v>
      </c>
      <c r="I32" s="461">
        <v>334.70556490056453</v>
      </c>
      <c r="J32" s="461">
        <v>118.76239073607603</v>
      </c>
      <c r="K32" s="461">
        <v>19890.24263690459</v>
      </c>
    </row>
    <row r="33" spans="1:11">
      <c r="A33" s="650" t="s">
        <v>189</v>
      </c>
      <c r="D33" s="464">
        <v>349991.26402862382</v>
      </c>
      <c r="E33" s="464">
        <v>4562.7499513165167</v>
      </c>
      <c r="F33" s="464">
        <v>275734.23162225034</v>
      </c>
      <c r="G33" s="464">
        <v>33721.099680657157</v>
      </c>
      <c r="H33" s="464">
        <v>4189.4721818585422</v>
      </c>
      <c r="I33" s="464">
        <v>771.70556490056447</v>
      </c>
      <c r="J33" s="464">
        <v>305.76239073607604</v>
      </c>
      <c r="K33" s="464">
        <v>30706.24263690459</v>
      </c>
    </row>
    <row r="34" spans="1:11" ht="9" customHeight="1"/>
    <row r="35" spans="1:11">
      <c r="A35" s="516" t="s">
        <v>239</v>
      </c>
    </row>
    <row r="36" spans="1:11">
      <c r="A36" s="651" t="s">
        <v>499</v>
      </c>
    </row>
    <row r="37" spans="1:11">
      <c r="A37" s="652" t="s">
        <v>286</v>
      </c>
      <c r="D37" s="466">
        <v>53823.005644218851</v>
      </c>
      <c r="E37" s="466">
        <v>618.34147943144103</v>
      </c>
      <c r="F37" s="466">
        <v>48832.749636183224</v>
      </c>
      <c r="G37" s="466">
        <v>2251.9919741894219</v>
      </c>
      <c r="H37" s="466">
        <v>2106.6816600118982</v>
      </c>
      <c r="I37" s="466">
        <v>13.240894402875242</v>
      </c>
      <c r="J37" s="466">
        <v>0</v>
      </c>
    </row>
    <row r="38" spans="1:11">
      <c r="A38" s="652" t="s">
        <v>287</v>
      </c>
      <c r="D38" s="466">
        <v>132737.47345136068</v>
      </c>
      <c r="E38" s="466">
        <v>3338.1230956561526</v>
      </c>
      <c r="F38" s="466">
        <v>108435.56239276817</v>
      </c>
      <c r="G38" s="466">
        <v>18653.483372581512</v>
      </c>
      <c r="H38" s="466">
        <v>791.08340744031898</v>
      </c>
      <c r="I38" s="466">
        <v>1117.8722943054693</v>
      </c>
      <c r="J38" s="466">
        <v>401.34888860906045</v>
      </c>
    </row>
    <row r="39" spans="1:11">
      <c r="A39" s="653" t="s">
        <v>288</v>
      </c>
      <c r="B39" s="460"/>
      <c r="C39" s="460"/>
      <c r="D39" s="466">
        <v>186560.47909557953</v>
      </c>
    </row>
    <row r="40" spans="1:11">
      <c r="A40" s="446" t="s">
        <v>242</v>
      </c>
    </row>
    <row r="41" spans="1:11">
      <c r="A41" s="484" t="s">
        <v>243</v>
      </c>
      <c r="D41" s="461">
        <v>26624.974669999996</v>
      </c>
      <c r="F41" s="461">
        <v>265.48495999999994</v>
      </c>
      <c r="K41" s="461">
        <v>62876.463300000003</v>
      </c>
    </row>
    <row r="42" spans="1:11">
      <c r="A42" s="484" t="s">
        <v>244</v>
      </c>
      <c r="D42" s="461">
        <v>179860.30659999995</v>
      </c>
    </row>
    <row r="43" spans="1:11" ht="5.25" customHeight="1">
      <c r="A43" s="484"/>
      <c r="D43" s="461"/>
    </row>
    <row r="44" spans="1:11">
      <c r="A44" s="654" t="s">
        <v>256</v>
      </c>
      <c r="D44" s="465">
        <v>206485.28126999995</v>
      </c>
    </row>
    <row r="45" spans="1:11">
      <c r="A45" s="655" t="s">
        <v>257</v>
      </c>
      <c r="D45" s="465">
        <v>59571.343904780195</v>
      </c>
      <c r="E45" s="469">
        <v>684.38082342132168</v>
      </c>
      <c r="F45" s="465">
        <v>54048.124729830306</v>
      </c>
      <c r="G45" s="465">
        <v>2492.5064432861618</v>
      </c>
      <c r="H45" s="465">
        <v>2331.6768761675762</v>
      </c>
      <c r="I45" s="465">
        <v>14.655032074844433</v>
      </c>
      <c r="J45" s="465">
        <v>0</v>
      </c>
    </row>
    <row r="46" spans="1:11">
      <c r="A46" s="655" t="s">
        <v>259</v>
      </c>
      <c r="D46" s="461">
        <v>146913.93736521975</v>
      </c>
      <c r="E46" s="469">
        <v>3694.6372010939781</v>
      </c>
      <c r="F46" s="465">
        <v>120016.56357705983</v>
      </c>
      <c r="G46" s="465">
        <v>20645.689695508634</v>
      </c>
      <c r="H46" s="465">
        <v>875.57172175601829</v>
      </c>
      <c r="I46" s="465">
        <v>1237.2619122367714</v>
      </c>
      <c r="J46" s="465">
        <v>444.21325756451358</v>
      </c>
    </row>
    <row r="47" spans="1:11">
      <c r="A47" s="656" t="s">
        <v>258</v>
      </c>
      <c r="B47" s="460"/>
      <c r="C47" s="460"/>
      <c r="D47" s="465">
        <v>206485.28126999998</v>
      </c>
      <c r="E47" s="465">
        <v>4379.0180245152997</v>
      </c>
      <c r="F47" s="465">
        <v>174064.68830689014</v>
      </c>
      <c r="G47" s="465">
        <v>23138.196138794796</v>
      </c>
      <c r="H47" s="465">
        <v>3207.2485979235944</v>
      </c>
      <c r="I47" s="465">
        <v>1251.9169443116159</v>
      </c>
      <c r="J47" s="465">
        <v>444.21325756451358</v>
      </c>
    </row>
    <row r="48" spans="1:11">
      <c r="A48" s="657" t="s">
        <v>25</v>
      </c>
      <c r="D48" s="465">
        <v>11520.064259999997</v>
      </c>
      <c r="K48" s="461">
        <v>11520.064259999997</v>
      </c>
    </row>
    <row r="49" spans="1:11">
      <c r="A49" s="658" t="s">
        <v>260</v>
      </c>
      <c r="B49" s="460"/>
      <c r="C49" s="460"/>
      <c r="D49" s="464">
        <v>281147.29378999997</v>
      </c>
      <c r="E49" s="464">
        <v>4379.0180245152997</v>
      </c>
      <c r="F49" s="464">
        <v>174330.17326689014</v>
      </c>
      <c r="G49" s="464">
        <v>23138.196138794796</v>
      </c>
      <c r="H49" s="464">
        <v>3207.2485979235944</v>
      </c>
      <c r="I49" s="464">
        <v>1251.9169443116159</v>
      </c>
      <c r="J49" s="464">
        <v>444.21325756451358</v>
      </c>
      <c r="K49" s="464">
        <v>74396.527560000002</v>
      </c>
    </row>
    <row r="50" spans="1:11">
      <c r="A50" s="446" t="s">
        <v>261</v>
      </c>
    </row>
    <row r="51" spans="1:11">
      <c r="A51" s="659" t="s">
        <v>47</v>
      </c>
      <c r="D51" s="461">
        <v>14779.706190000004</v>
      </c>
      <c r="E51" s="461">
        <v>230.20175272038273</v>
      </c>
      <c r="F51" s="461">
        <v>9164.4088271429555</v>
      </c>
      <c r="G51" s="461">
        <v>1216.3579314173121</v>
      </c>
      <c r="H51" s="461">
        <v>168.60269688744276</v>
      </c>
      <c r="I51" s="461">
        <v>65.812351816656204</v>
      </c>
      <c r="J51" s="461">
        <v>23.351963819400019</v>
      </c>
      <c r="K51" s="461">
        <v>3910.9706661958548</v>
      </c>
    </row>
    <row r="52" spans="1:11">
      <c r="A52" s="659" t="s">
        <v>48</v>
      </c>
      <c r="D52" s="461">
        <v>55527.832810000014</v>
      </c>
      <c r="E52" s="461">
        <v>864.87540911165934</v>
      </c>
      <c r="F52" s="461">
        <v>34430.979521121466</v>
      </c>
      <c r="G52" s="461">
        <v>4569.895976589637</v>
      </c>
      <c r="H52" s="461">
        <v>633.44576974172105</v>
      </c>
      <c r="I52" s="461">
        <v>247.25912826202031</v>
      </c>
      <c r="J52" s="461">
        <v>87.734081183978759</v>
      </c>
      <c r="K52" s="461">
        <v>14693.642923989528</v>
      </c>
    </row>
    <row r="53" spans="1:11">
      <c r="A53" s="659" t="s">
        <v>263</v>
      </c>
      <c r="D53" s="461">
        <v>57094.455739999998</v>
      </c>
      <c r="E53" s="461">
        <v>853.452672153516</v>
      </c>
      <c r="F53" s="461">
        <v>33976.236539487902</v>
      </c>
      <c r="G53" s="461">
        <v>4509.5396303266789</v>
      </c>
      <c r="H53" s="461">
        <v>625.07961164683388</v>
      </c>
      <c r="I53" s="461">
        <v>243.99348334613831</v>
      </c>
      <c r="J53" s="461">
        <v>86.575343958858284</v>
      </c>
      <c r="K53" s="461">
        <v>16799.578459080072</v>
      </c>
    </row>
    <row r="54" spans="1:11">
      <c r="A54" s="659" t="s">
        <v>281</v>
      </c>
      <c r="D54" s="461">
        <v>104681.43609999996</v>
      </c>
      <c r="E54" s="461">
        <v>1630.4688170196114</v>
      </c>
      <c r="F54" s="461">
        <v>64909.509343422244</v>
      </c>
      <c r="G54" s="461">
        <v>8615.1979907788318</v>
      </c>
      <c r="H54" s="461">
        <v>1194.1761367659838</v>
      </c>
      <c r="I54" s="461">
        <v>466.13453696037317</v>
      </c>
      <c r="J54" s="461">
        <v>165.39686763353944</v>
      </c>
      <c r="K54" s="461">
        <v>27700.552407419375</v>
      </c>
    </row>
    <row r="55" spans="1:11">
      <c r="A55" s="660" t="s">
        <v>279</v>
      </c>
      <c r="D55" s="464">
        <v>232083.43083999999</v>
      </c>
      <c r="E55" s="464">
        <v>3578.9986510051694</v>
      </c>
      <c r="F55" s="464">
        <v>142481.13423117457</v>
      </c>
      <c r="G55" s="464">
        <v>18910.99152911246</v>
      </c>
      <c r="H55" s="464">
        <v>2621.3042150419815</v>
      </c>
      <c r="I55" s="464">
        <v>1023.199500385188</v>
      </c>
      <c r="J55" s="464">
        <v>363.05825659577653</v>
      </c>
      <c r="K55" s="464">
        <v>63104.744456684828</v>
      </c>
    </row>
    <row r="56" spans="1:11">
      <c r="A56" s="516" t="s">
        <v>252</v>
      </c>
      <c r="D56" s="464">
        <v>513230.72462999995</v>
      </c>
      <c r="E56" s="464">
        <v>7958.0166755204691</v>
      </c>
      <c r="F56" s="464">
        <v>316811.30749806471</v>
      </c>
      <c r="G56" s="464">
        <v>42049.187667907259</v>
      </c>
      <c r="H56" s="464">
        <v>5828.5528129655759</v>
      </c>
      <c r="I56" s="464">
        <v>2275.1164446968041</v>
      </c>
      <c r="J56" s="464">
        <v>807.27151416029005</v>
      </c>
      <c r="K56" s="464">
        <v>137501.27201668482</v>
      </c>
    </row>
    <row r="57" spans="1:11">
      <c r="A57" s="525" t="s">
        <v>178</v>
      </c>
    </row>
    <row r="58" spans="1:11">
      <c r="A58" s="484" t="s">
        <v>268</v>
      </c>
      <c r="D58" s="461"/>
    </row>
    <row r="59" spans="1:11">
      <c r="A59" s="484" t="s">
        <v>266</v>
      </c>
      <c r="D59" s="461">
        <v>9502</v>
      </c>
      <c r="E59" s="461"/>
      <c r="F59" s="471">
        <v>9191.098531973128</v>
      </c>
      <c r="G59" s="461"/>
      <c r="H59" s="461"/>
      <c r="I59" s="471">
        <v>310.90146802687235</v>
      </c>
      <c r="J59" s="461"/>
    </row>
    <row r="60" spans="1:11">
      <c r="A60" s="484" t="s">
        <v>267</v>
      </c>
      <c r="D60" s="461">
        <v>364.95499999999998</v>
      </c>
      <c r="E60" s="461"/>
      <c r="G60" s="465">
        <v>364.95499999999998</v>
      </c>
    </row>
    <row r="61" spans="1:11">
      <c r="A61" s="484" t="s">
        <v>265</v>
      </c>
      <c r="D61" s="461">
        <v>370</v>
      </c>
      <c r="E61" s="461"/>
      <c r="F61" s="465">
        <v>370</v>
      </c>
    </row>
    <row r="62" spans="1:11">
      <c r="A62" s="484" t="s">
        <v>451</v>
      </c>
      <c r="D62" s="461">
        <v>922.84400000000005</v>
      </c>
      <c r="E62" s="461"/>
      <c r="F62" s="471">
        <v>495.2702216507551</v>
      </c>
      <c r="G62" s="471">
        <v>427.57377834924483</v>
      </c>
    </row>
    <row r="63" spans="1:11">
      <c r="A63" s="484" t="s">
        <v>264</v>
      </c>
      <c r="D63" s="461">
        <v>2295.181</v>
      </c>
      <c r="E63" s="461">
        <v>57.71992268346618</v>
      </c>
      <c r="F63" s="461">
        <v>1874.9734800353381</v>
      </c>
      <c r="G63" s="461">
        <v>322.53981869146486</v>
      </c>
      <c r="H63" s="461">
        <v>13.678726579330309</v>
      </c>
      <c r="I63" s="461">
        <v>19.329275927920111</v>
      </c>
      <c r="J63" s="461">
        <v>6.9397760824804156</v>
      </c>
    </row>
    <row r="64" spans="1:11">
      <c r="A64" s="484" t="s">
        <v>253</v>
      </c>
      <c r="B64" s="460"/>
      <c r="D64" s="461">
        <v>90790.277320830006</v>
      </c>
      <c r="E64" s="461"/>
      <c r="K64" s="461">
        <v>90790.277320830006</v>
      </c>
    </row>
    <row r="65" spans="1:11">
      <c r="A65" s="484" t="s">
        <v>616</v>
      </c>
      <c r="B65" s="460"/>
      <c r="D65" s="461">
        <v>0</v>
      </c>
      <c r="E65" s="461"/>
      <c r="F65" s="461"/>
      <c r="G65" s="461"/>
      <c r="H65" s="461"/>
      <c r="I65" s="461"/>
      <c r="J65" s="461"/>
      <c r="K65" s="461">
        <v>0</v>
      </c>
    </row>
    <row r="66" spans="1:11">
      <c r="A66" s="650" t="s">
        <v>277</v>
      </c>
      <c r="D66" s="471">
        <v>104245.25732083</v>
      </c>
      <c r="E66" s="471">
        <v>57.71992268346618</v>
      </c>
      <c r="F66" s="471">
        <v>11931.342233659221</v>
      </c>
      <c r="G66" s="471">
        <v>1115.0685970407096</v>
      </c>
      <c r="H66" s="471">
        <v>13.678726579330309</v>
      </c>
      <c r="I66" s="471">
        <v>330.23074395479244</v>
      </c>
      <c r="J66" s="471">
        <v>6.9397760824804156</v>
      </c>
      <c r="K66" s="471">
        <v>90790.277320830006</v>
      </c>
    </row>
    <row r="67" spans="1:11">
      <c r="A67" s="484" t="s">
        <v>269</v>
      </c>
      <c r="E67" s="461"/>
    </row>
    <row r="68" spans="1:11">
      <c r="A68" s="484" t="s">
        <v>43</v>
      </c>
      <c r="D68" s="461">
        <v>80.760000000000005</v>
      </c>
      <c r="E68" s="461">
        <v>1.2392842201744276</v>
      </c>
      <c r="F68" s="461">
        <v>66.163873631963369</v>
      </c>
      <c r="G68" s="461">
        <v>8.7544092875242683</v>
      </c>
      <c r="H68" s="461">
        <v>0.99254161180436185</v>
      </c>
      <c r="I68" s="461">
        <v>0.17256112328160469</v>
      </c>
      <c r="J68" s="461">
        <v>7.4391737481860232E-2</v>
      </c>
      <c r="K68" s="461">
        <v>3.3629383877701207</v>
      </c>
    </row>
    <row r="69" spans="1:11">
      <c r="A69" s="484" t="s">
        <v>44</v>
      </c>
      <c r="D69" s="461">
        <v>4296.4247999999998</v>
      </c>
      <c r="E69" s="461"/>
      <c r="F69" s="465">
        <v>4296.4247999999998</v>
      </c>
      <c r="G69" s="465"/>
      <c r="H69" s="465"/>
      <c r="I69" s="465"/>
      <c r="J69" s="465"/>
      <c r="K69" s="465"/>
    </row>
    <row r="70" spans="1:11">
      <c r="A70" s="484" t="s">
        <v>45</v>
      </c>
      <c r="D70" s="461">
        <v>0.98519000000000001</v>
      </c>
      <c r="E70" s="470">
        <v>1.5344856105193915E-2</v>
      </c>
      <c r="F70" s="461">
        <v>0.61088385765894349</v>
      </c>
      <c r="G70" s="461">
        <v>8.1080344564888898E-2</v>
      </c>
      <c r="H70" s="461">
        <v>1.1238768133220901E-2</v>
      </c>
      <c r="I70" s="461">
        <v>4.3869390942372659E-3</v>
      </c>
      <c r="J70" s="461">
        <v>1.5566020690452372E-3</v>
      </c>
      <c r="K70" s="461">
        <v>0.26069863237447027</v>
      </c>
    </row>
    <row r="71" spans="1:11">
      <c r="A71" s="484" t="s">
        <v>46</v>
      </c>
      <c r="D71" s="461">
        <v>304.62001000000004</v>
      </c>
      <c r="E71" s="461"/>
      <c r="K71" s="465">
        <v>304.62001000000004</v>
      </c>
    </row>
    <row r="72" spans="1:11">
      <c r="A72" s="650" t="s">
        <v>278</v>
      </c>
      <c r="D72" s="471">
        <v>4682.79</v>
      </c>
      <c r="E72" s="471">
        <v>1.2546290762796215</v>
      </c>
      <c r="F72" s="471">
        <v>4363.1995574896227</v>
      </c>
      <c r="G72" s="471">
        <v>8.8354896320891569</v>
      </c>
      <c r="H72" s="471">
        <v>1.0037803799375828</v>
      </c>
      <c r="I72" s="471">
        <v>0.17694806237584196</v>
      </c>
      <c r="J72" s="471">
        <v>7.5948339550905464E-2</v>
      </c>
      <c r="K72" s="471">
        <v>308.24364702014464</v>
      </c>
    </row>
    <row r="73" spans="1:11">
      <c r="A73" s="661" t="s">
        <v>270</v>
      </c>
      <c r="B73" s="661"/>
      <c r="C73" s="661"/>
      <c r="D73" s="464">
        <v>108928.04732083001</v>
      </c>
      <c r="E73" s="464">
        <v>58.9745517597458</v>
      </c>
      <c r="F73" s="464">
        <v>16294.541791148844</v>
      </c>
      <c r="G73" s="464">
        <v>1123.9040866727987</v>
      </c>
      <c r="H73" s="464">
        <v>14.682506959267892</v>
      </c>
      <c r="I73" s="464">
        <v>330.4076920171683</v>
      </c>
      <c r="J73" s="464">
        <v>7.0157244220313206</v>
      </c>
      <c r="K73" s="464">
        <v>91098.520967850156</v>
      </c>
    </row>
    <row r="74" spans="1:11">
      <c r="A74" s="525" t="s">
        <v>612</v>
      </c>
    </row>
    <row r="75" spans="1:11">
      <c r="A75" s="660" t="s">
        <v>613</v>
      </c>
      <c r="D75" s="464">
        <v>1350</v>
      </c>
      <c r="E75" s="464"/>
      <c r="F75" s="464">
        <v>1172.7669571999011</v>
      </c>
      <c r="G75" s="464">
        <v>155.65700057697734</v>
      </c>
      <c r="H75" s="464">
        <v>21.576042223121465</v>
      </c>
      <c r="I75" s="464"/>
      <c r="J75" s="464"/>
      <c r="K75" s="464"/>
    </row>
    <row r="76" spans="1:11">
      <c r="D76" s="558"/>
    </row>
  </sheetData>
  <customSheetViews>
    <customSheetView guid="{2226E858-00AE-4A92-8CF6-5B54D2FA62D4}" showPageBreaks="1" fitToPage="1" topLeftCell="A22">
      <selection activeCell="D32" sqref="D32"/>
      <pageMargins left="0.25" right="0.25" top="0.75" bottom="0.75" header="0.3" footer="0.3"/>
      <pageSetup scale="55" orientation="portrait" r:id="rId1"/>
    </customSheetView>
  </customSheetViews>
  <mergeCells count="3">
    <mergeCell ref="A1:K1"/>
    <mergeCell ref="A10:B10"/>
    <mergeCell ref="A12:C12"/>
  </mergeCells>
  <hyperlinks>
    <hyperlink ref="I5" location="'Revenue Requirement'!A1" display="Revenue Requirement"/>
    <hyperlink ref="I4" location="AFUDC!A1" display="AFUDC"/>
    <hyperlink ref="I3" location="'Repayment Inputs'!A1" display="Repayment Inputs"/>
    <hyperlink ref="I6" location="'Expense Input File'!A1" display="Expense Input"/>
    <hyperlink ref="G4" r:id="rId2"/>
    <hyperlink ref="G5" r:id="rId3"/>
    <hyperlink ref="G6" r:id="rId4"/>
    <hyperlink ref="G7" r:id="rId5"/>
  </hyperlinks>
  <pageMargins left="0.25" right="0.25" top="0.75" bottom="0.75" header="0.3" footer="0.3"/>
  <pageSetup scale="56" orientation="portrait" r:id="rId6"/>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pageSetUpPr autoPageBreaks="0" fitToPage="1"/>
  </sheetPr>
  <dimension ref="A1:L75"/>
  <sheetViews>
    <sheetView workbookViewId="0">
      <pane ySplit="12" topLeftCell="A13" activePane="bottomLeft" state="frozen"/>
      <selection activeCell="C30" sqref="C30"/>
      <selection pane="bottomLeft" activeCell="C30" sqref="C30"/>
    </sheetView>
  </sheetViews>
  <sheetFormatPr defaultColWidth="9.140625" defaultRowHeight="14.25"/>
  <cols>
    <col min="1" max="2" width="9.140625" style="93"/>
    <col min="3" max="3" width="29.28515625" style="93" customWidth="1"/>
    <col min="4" max="11" width="15.7109375" style="93" customWidth="1"/>
    <col min="12" max="16384" width="9.140625" style="93"/>
  </cols>
  <sheetData>
    <row r="1" spans="1:12" ht="18">
      <c r="A1" s="426" t="s">
        <v>527</v>
      </c>
      <c r="B1" s="427"/>
      <c r="C1" s="427"/>
      <c r="D1" s="427"/>
      <c r="E1" s="427"/>
      <c r="F1" s="427"/>
      <c r="G1" s="427"/>
      <c r="H1" s="427"/>
      <c r="I1" s="427"/>
      <c r="J1" s="427"/>
      <c r="K1" s="428"/>
    </row>
    <row r="2" spans="1:12" ht="18">
      <c r="A2" s="121"/>
      <c r="B2" s="127" t="s">
        <v>115</v>
      </c>
      <c r="C2" s="94"/>
      <c r="D2" s="3"/>
      <c r="E2" s="98"/>
      <c r="F2" s="148" t="s">
        <v>377</v>
      </c>
      <c r="G2" s="149"/>
      <c r="H2" s="139"/>
      <c r="I2" s="148" t="s">
        <v>380</v>
      </c>
      <c r="J2" s="140"/>
      <c r="K2" s="150"/>
    </row>
    <row r="3" spans="1:12" ht="18">
      <c r="A3" s="121"/>
      <c r="B3" s="127" t="s">
        <v>74</v>
      </c>
      <c r="C3" s="95"/>
      <c r="D3" s="3"/>
      <c r="E3" s="98"/>
      <c r="F3" s="151" t="s">
        <v>378</v>
      </c>
      <c r="G3" s="152" t="s">
        <v>237</v>
      </c>
      <c r="H3" s="139"/>
      <c r="I3" s="153" t="s">
        <v>241</v>
      </c>
      <c r="J3" s="139"/>
      <c r="K3" s="150"/>
    </row>
    <row r="4" spans="1:12" ht="18" customHeight="1">
      <c r="A4" s="121"/>
      <c r="B4" s="127" t="s">
        <v>10</v>
      </c>
      <c r="C4" s="154"/>
      <c r="D4" s="3"/>
      <c r="E4" s="98"/>
      <c r="F4" s="145" t="str">
        <f>IF('20 Seg Dev'!F4=0," ",'20 Seg Dev'!F4)</f>
        <v xml:space="preserve"> </v>
      </c>
      <c r="G4" s="155" t="s">
        <v>367</v>
      </c>
      <c r="H4" s="139"/>
      <c r="I4" s="156" t="s">
        <v>88</v>
      </c>
      <c r="J4" s="3"/>
      <c r="K4" s="150"/>
    </row>
    <row r="5" spans="1:12" ht="18" customHeight="1">
      <c r="A5" s="121"/>
      <c r="B5" s="128" t="s">
        <v>9</v>
      </c>
      <c r="C5" s="154"/>
      <c r="D5" s="96"/>
      <c r="F5" s="145" t="str">
        <f>IF('20 Seg Dev'!F5=0," ",'20 Seg Dev'!F5)</f>
        <v xml:space="preserve"> </v>
      </c>
      <c r="G5" s="157" t="s">
        <v>369</v>
      </c>
      <c r="H5" s="139"/>
      <c r="I5" s="142" t="s">
        <v>368</v>
      </c>
      <c r="J5" s="96"/>
      <c r="K5" s="150"/>
    </row>
    <row r="6" spans="1:12" ht="15">
      <c r="A6" s="121"/>
      <c r="B6" s="128" t="s">
        <v>364</v>
      </c>
      <c r="C6" s="95"/>
      <c r="D6" s="96"/>
      <c r="E6" s="158"/>
      <c r="F6" s="145" t="str">
        <f>IF('20 Seg Dev'!F6=0," ",'20 Seg Dev'!F6)</f>
        <v xml:space="preserve"> </v>
      </c>
      <c r="G6" s="159" t="s">
        <v>447</v>
      </c>
      <c r="H6" s="139"/>
      <c r="I6" s="160" t="s">
        <v>365</v>
      </c>
      <c r="J6" s="96"/>
      <c r="K6" s="150"/>
    </row>
    <row r="7" spans="1:12" ht="15">
      <c r="A7" s="121"/>
      <c r="B7" s="128" t="s">
        <v>363</v>
      </c>
      <c r="C7" s="95"/>
      <c r="D7" s="96"/>
      <c r="E7" s="158"/>
      <c r="F7" s="145" t="str">
        <f>IF('20 Seg Dev'!F7=0," ",'20 Seg Dev'!F7)</f>
        <v xml:space="preserve"> </v>
      </c>
      <c r="G7" s="97" t="s">
        <v>450</v>
      </c>
      <c r="H7" s="139"/>
      <c r="I7" s="141"/>
      <c r="J7" s="96"/>
      <c r="K7" s="150"/>
    </row>
    <row r="8" spans="1:12" ht="15">
      <c r="A8" s="121"/>
      <c r="B8" s="128" t="s">
        <v>271</v>
      </c>
      <c r="C8" s="161">
        <v>2033</v>
      </c>
      <c r="D8" s="96"/>
      <c r="E8" s="225"/>
      <c r="F8" s="225"/>
      <c r="G8" s="158"/>
      <c r="H8" s="226"/>
      <c r="I8" s="225"/>
      <c r="J8" s="225"/>
      <c r="K8" s="150"/>
    </row>
    <row r="9" spans="1:12" ht="15">
      <c r="A9" s="121"/>
      <c r="B9" s="128"/>
      <c r="C9" s="131"/>
      <c r="D9" s="96"/>
      <c r="E9" s="225"/>
      <c r="F9" s="225"/>
      <c r="G9" s="225"/>
      <c r="H9" s="225"/>
      <c r="I9" s="225"/>
      <c r="J9" s="225"/>
      <c r="K9" s="150"/>
    </row>
    <row r="10" spans="1:12" ht="15">
      <c r="A10" s="422"/>
      <c r="B10" s="423"/>
      <c r="C10" s="143"/>
      <c r="D10" s="116"/>
      <c r="E10" s="116"/>
      <c r="F10" s="116"/>
      <c r="G10" s="116"/>
      <c r="H10" s="116"/>
      <c r="I10" s="116"/>
      <c r="J10" s="116"/>
      <c r="K10" s="117"/>
    </row>
    <row r="11" spans="1:12" ht="15" thickBot="1">
      <c r="A11" s="98"/>
      <c r="B11" s="98"/>
      <c r="C11" s="98"/>
      <c r="D11" s="98"/>
      <c r="E11" s="98"/>
      <c r="F11" s="98"/>
      <c r="G11" s="98"/>
      <c r="H11" s="98"/>
      <c r="I11" s="98"/>
      <c r="J11" s="98"/>
      <c r="K11" s="98"/>
    </row>
    <row r="12" spans="1:12" ht="29.25" customHeight="1">
      <c r="A12" s="424">
        <f>C8</f>
        <v>2033</v>
      </c>
      <c r="B12" s="425"/>
      <c r="C12" s="425"/>
      <c r="D12" s="162" t="s">
        <v>171</v>
      </c>
      <c r="E12" s="163" t="s">
        <v>172</v>
      </c>
      <c r="F12" s="163" t="s">
        <v>173</v>
      </c>
      <c r="G12" s="163" t="s">
        <v>174</v>
      </c>
      <c r="H12" s="163" t="s">
        <v>175</v>
      </c>
      <c r="I12" s="163" t="s">
        <v>176</v>
      </c>
      <c r="J12" s="163" t="s">
        <v>177</v>
      </c>
      <c r="K12" s="164" t="s">
        <v>178</v>
      </c>
      <c r="L12" s="115"/>
    </row>
    <row r="13" spans="1:12" ht="15">
      <c r="A13" s="166" t="s">
        <v>262</v>
      </c>
      <c r="B13" s="130"/>
      <c r="C13" s="130"/>
      <c r="D13" s="129"/>
      <c r="E13" s="129"/>
      <c r="F13" s="129"/>
      <c r="G13" s="129"/>
      <c r="H13" s="129"/>
      <c r="I13" s="129"/>
      <c r="J13" s="129"/>
      <c r="K13" s="167"/>
      <c r="L13" s="115"/>
    </row>
    <row r="14" spans="1:12" ht="15">
      <c r="A14" s="168" t="s">
        <v>179</v>
      </c>
      <c r="B14" s="169"/>
      <c r="C14" s="169"/>
      <c r="D14" s="170" t="e">
        <f>SUM(E14:K14)</f>
        <v>#N/A</v>
      </c>
      <c r="E14" s="107" t="e">
        <f>'[1]Seg Inv Base'!E$222</f>
        <v>#N/A</v>
      </c>
      <c r="F14" s="107" t="e">
        <f>'[1]Seg Inv Base'!F$222</f>
        <v>#N/A</v>
      </c>
      <c r="G14" s="107" t="e">
        <f>'[1]Seg Inv Base'!G$222</f>
        <v>#N/A</v>
      </c>
      <c r="H14" s="107" t="e">
        <f>'[1]Seg Inv Base'!H$222</f>
        <v>#N/A</v>
      </c>
      <c r="I14" s="107" t="e">
        <f>'[1]Seg Inv Base'!I$222</f>
        <v>#N/A</v>
      </c>
      <c r="J14" s="107" t="e">
        <f>'[1]Seg Inv Base'!J$222</f>
        <v>#N/A</v>
      </c>
      <c r="K14" s="106" t="e">
        <f>'[1]Seg Inv Base'!K$222</f>
        <v>#N/A</v>
      </c>
    </row>
    <row r="15" spans="1:12">
      <c r="A15" s="172" t="s">
        <v>240</v>
      </c>
      <c r="B15" s="173"/>
      <c r="C15" s="173"/>
      <c r="D15" s="174" t="e">
        <f>SUM(E15:K15)</f>
        <v>#N/A</v>
      </c>
      <c r="E15" s="175" t="e">
        <f>E14/D14</f>
        <v>#N/A</v>
      </c>
      <c r="F15" s="175" t="e">
        <f>F14/D14</f>
        <v>#N/A</v>
      </c>
      <c r="G15" s="175" t="e">
        <f>G14/D14</f>
        <v>#N/A</v>
      </c>
      <c r="H15" s="175" t="e">
        <f>H14/D14</f>
        <v>#N/A</v>
      </c>
      <c r="I15" s="175" t="e">
        <f>I14/D14</f>
        <v>#N/A</v>
      </c>
      <c r="J15" s="175" t="e">
        <f>J14/D14</f>
        <v>#N/A</v>
      </c>
      <c r="K15" s="176" t="e">
        <f>K14/D14</f>
        <v>#N/A</v>
      </c>
    </row>
    <row r="16" spans="1:12">
      <c r="A16" s="177" t="s">
        <v>82</v>
      </c>
      <c r="B16" s="173"/>
      <c r="C16" s="173"/>
      <c r="D16" s="99"/>
      <c r="E16" s="99"/>
      <c r="F16" s="99"/>
      <c r="G16" s="99"/>
      <c r="H16" s="99"/>
      <c r="I16" s="99"/>
      <c r="J16" s="99"/>
      <c r="K16" s="100"/>
    </row>
    <row r="17" spans="1:11">
      <c r="A17" s="168"/>
      <c r="B17" s="173" t="s">
        <v>482</v>
      </c>
      <c r="C17" s="173"/>
      <c r="D17" s="170" t="e">
        <f>SUM(E17:K17)</f>
        <v>#N/A</v>
      </c>
      <c r="E17" s="102"/>
      <c r="F17" s="104" t="e">
        <f>HLOOKUP($A$12,'Repayment Inputs'!$B$5:$Z$27,19,FALSE)</f>
        <v>#N/A</v>
      </c>
      <c r="G17" s="227"/>
      <c r="H17" s="102"/>
      <c r="I17" s="102"/>
      <c r="J17" s="102"/>
      <c r="K17" s="101"/>
    </row>
    <row r="18" spans="1:11">
      <c r="A18" s="168"/>
      <c r="B18" s="173" t="s">
        <v>483</v>
      </c>
      <c r="C18" s="173"/>
      <c r="D18" s="170" t="e">
        <f>SUM(E18:K18)</f>
        <v>#N/A</v>
      </c>
      <c r="E18" s="102"/>
      <c r="F18" s="103" t="e">
        <f>-(HLOOKUP($A$12,AFUDC!$I$9:$AJ$34,25,FALSE))</f>
        <v>#N/A</v>
      </c>
      <c r="G18" s="102"/>
      <c r="H18" s="102"/>
      <c r="I18" s="102"/>
      <c r="J18" s="102"/>
      <c r="K18" s="101"/>
    </row>
    <row r="19" spans="1:11">
      <c r="A19" s="168"/>
      <c r="B19" s="173" t="s">
        <v>479</v>
      </c>
      <c r="C19" s="173"/>
      <c r="D19" s="170" t="e">
        <f>SUM(E19:K19)</f>
        <v>#N/A</v>
      </c>
      <c r="E19" s="102"/>
      <c r="F19" s="170" t="e">
        <f>SUM(F17:F18)</f>
        <v>#N/A</v>
      </c>
      <c r="G19" s="102"/>
      <c r="H19" s="102"/>
      <c r="I19" s="102"/>
      <c r="J19" s="102"/>
      <c r="K19" s="101"/>
    </row>
    <row r="20" spans="1:11">
      <c r="A20" s="178" t="s">
        <v>180</v>
      </c>
      <c r="B20" s="173"/>
      <c r="C20" s="173"/>
      <c r="D20" s="105" t="e">
        <f>HLOOKUP($A$12,'Revenue Requirement'!$A$6:$AB$30,25,FALSE)-$D$19</f>
        <v>#N/A</v>
      </c>
      <c r="E20" s="170" t="e">
        <f>D20*E15</f>
        <v>#N/A</v>
      </c>
      <c r="F20" s="170" t="e">
        <f>D20*F15</f>
        <v>#N/A</v>
      </c>
      <c r="G20" s="170" t="e">
        <f>D20*G15</f>
        <v>#N/A</v>
      </c>
      <c r="H20" s="170" t="e">
        <f>D20*H15</f>
        <v>#N/A</v>
      </c>
      <c r="I20" s="170" t="e">
        <f>D20*I15</f>
        <v>#N/A</v>
      </c>
      <c r="J20" s="170" t="e">
        <f>D20*J15</f>
        <v>#N/A</v>
      </c>
      <c r="K20" s="179" t="e">
        <f>D20*K15</f>
        <v>#N/A</v>
      </c>
    </row>
    <row r="21" spans="1:11" ht="15">
      <c r="A21" s="180" t="s">
        <v>181</v>
      </c>
      <c r="B21" s="169"/>
      <c r="C21" s="169"/>
      <c r="D21" s="181" t="e">
        <f t="shared" ref="D21:K21" si="0">D20+D19</f>
        <v>#N/A</v>
      </c>
      <c r="E21" s="181" t="e">
        <f t="shared" si="0"/>
        <v>#N/A</v>
      </c>
      <c r="F21" s="181" t="e">
        <f t="shared" si="0"/>
        <v>#N/A</v>
      </c>
      <c r="G21" s="181" t="e">
        <f t="shared" si="0"/>
        <v>#N/A</v>
      </c>
      <c r="H21" s="181" t="e">
        <f t="shared" si="0"/>
        <v>#N/A</v>
      </c>
      <c r="I21" s="181" t="e">
        <f t="shared" si="0"/>
        <v>#N/A</v>
      </c>
      <c r="J21" s="181" t="e">
        <f t="shared" si="0"/>
        <v>#N/A</v>
      </c>
      <c r="K21" s="182" t="e">
        <f t="shared" si="0"/>
        <v>#N/A</v>
      </c>
    </row>
    <row r="22" spans="1:11">
      <c r="A22" s="177" t="s">
        <v>185</v>
      </c>
      <c r="B22" s="173"/>
      <c r="C22" s="173"/>
      <c r="D22" s="99"/>
      <c r="E22" s="99"/>
      <c r="F22" s="99"/>
      <c r="G22" s="99"/>
      <c r="H22" s="99"/>
      <c r="I22" s="99"/>
      <c r="J22" s="99"/>
      <c r="K22" s="100"/>
    </row>
    <row r="23" spans="1:11">
      <c r="A23" s="168"/>
      <c r="B23" s="173" t="s">
        <v>478</v>
      </c>
      <c r="C23" s="173"/>
      <c r="D23" s="99"/>
      <c r="E23" s="99"/>
      <c r="F23" s="104" t="e">
        <f>HLOOKUP($A$12,'Repayment Inputs'!$A$5:$Z$46,38,FALSE)</f>
        <v>#N/A</v>
      </c>
      <c r="G23" s="227"/>
      <c r="H23" s="99"/>
      <c r="I23" s="99"/>
      <c r="J23" s="99"/>
      <c r="K23" s="100"/>
    </row>
    <row r="24" spans="1:11">
      <c r="A24" s="168"/>
      <c r="B24" s="173" t="s">
        <v>479</v>
      </c>
      <c r="C24" s="173"/>
      <c r="D24" s="99"/>
      <c r="E24" s="99"/>
      <c r="F24" s="183" t="e">
        <f>F19</f>
        <v>#N/A</v>
      </c>
      <c r="G24" s="108"/>
      <c r="H24" s="99"/>
      <c r="I24" s="99"/>
      <c r="J24" s="99"/>
      <c r="K24" s="100"/>
    </row>
    <row r="25" spans="1:11">
      <c r="A25" s="168"/>
      <c r="B25" s="173" t="s">
        <v>480</v>
      </c>
      <c r="C25" s="173"/>
      <c r="D25" s="99"/>
      <c r="E25" s="99"/>
      <c r="F25" s="184">
        <f>SUM(VLOOKUP($A$12,'[1]Customer Funded'!$B$19:$M$60,6,FALSE),VLOOKUP($A$12,'[1]Customer Funded'!$B$19:$M$60,7,FALSE))</f>
        <v>7109.6524200592394</v>
      </c>
      <c r="G25" s="228"/>
      <c r="H25" s="99"/>
      <c r="I25" s="99"/>
      <c r="J25" s="99"/>
      <c r="K25" s="100"/>
    </row>
    <row r="26" spans="1:11">
      <c r="A26" s="168"/>
      <c r="B26" s="173" t="s">
        <v>481</v>
      </c>
      <c r="C26" s="173"/>
      <c r="D26" s="183" t="e">
        <f>F26</f>
        <v>#N/A</v>
      </c>
      <c r="E26" s="99"/>
      <c r="F26" s="183" t="e">
        <f>F23-F24-F25</f>
        <v>#N/A</v>
      </c>
      <c r="G26" s="108"/>
      <c r="H26" s="99"/>
      <c r="I26" s="99"/>
      <c r="J26" s="99"/>
      <c r="K26" s="100"/>
    </row>
    <row r="27" spans="1:11">
      <c r="A27" s="186" t="s">
        <v>463</v>
      </c>
      <c r="B27" s="173"/>
      <c r="C27" s="173"/>
      <c r="D27" s="110" t="e">
        <f>HLOOKUP($A$12,'Revenue Requirement'!$A$6:$AB$36,31,FALSE)-$D$26</f>
        <v>#N/A</v>
      </c>
      <c r="E27" s="170" t="e">
        <f>D27*E15</f>
        <v>#N/A</v>
      </c>
      <c r="F27" s="170" t="e">
        <f>D27*F15</f>
        <v>#N/A</v>
      </c>
      <c r="G27" s="170" t="e">
        <f>D27*G15</f>
        <v>#N/A</v>
      </c>
      <c r="H27" s="170" t="e">
        <f>D27*H15</f>
        <v>#N/A</v>
      </c>
      <c r="I27" s="170" t="e">
        <f>D27*I15</f>
        <v>#N/A</v>
      </c>
      <c r="J27" s="170" t="e">
        <f>D27*J15</f>
        <v>#N/A</v>
      </c>
      <c r="K27" s="179" t="e">
        <f>D27*K15</f>
        <v>#N/A</v>
      </c>
    </row>
    <row r="28" spans="1:11" ht="15">
      <c r="A28" s="180" t="s">
        <v>186</v>
      </c>
      <c r="B28" s="173"/>
      <c r="C28" s="173"/>
      <c r="D28" s="181" t="e">
        <f>D27+D26</f>
        <v>#N/A</v>
      </c>
      <c r="E28" s="181" t="e">
        <f t="shared" ref="E28:K28" si="1">E27+E26</f>
        <v>#N/A</v>
      </c>
      <c r="F28" s="181" t="e">
        <f t="shared" si="1"/>
        <v>#N/A</v>
      </c>
      <c r="G28" s="181" t="e">
        <f t="shared" si="1"/>
        <v>#N/A</v>
      </c>
      <c r="H28" s="181" t="e">
        <f t="shared" si="1"/>
        <v>#N/A</v>
      </c>
      <c r="I28" s="181" t="e">
        <f t="shared" si="1"/>
        <v>#N/A</v>
      </c>
      <c r="J28" s="181" t="e">
        <f t="shared" si="1"/>
        <v>#N/A</v>
      </c>
      <c r="K28" s="182" t="e">
        <f t="shared" si="1"/>
        <v>#N/A</v>
      </c>
    </row>
    <row r="29" spans="1:11" ht="15">
      <c r="A29" s="177" t="s">
        <v>190</v>
      </c>
      <c r="B29" s="173"/>
      <c r="C29" s="173"/>
      <c r="D29" s="125"/>
      <c r="E29" s="125"/>
      <c r="F29" s="125"/>
      <c r="G29" s="125"/>
      <c r="H29" s="125"/>
      <c r="I29" s="125"/>
      <c r="J29" s="125"/>
      <c r="K29" s="124"/>
    </row>
    <row r="30" spans="1:11">
      <c r="A30" s="187" t="s">
        <v>525</v>
      </c>
      <c r="B30" s="173"/>
      <c r="C30" s="173"/>
      <c r="D30" s="170">
        <f>SUM(E30:K30)</f>
        <v>352639.61582599999</v>
      </c>
      <c r="E30" s="184">
        <f>SUM(VLOOKUP($A$12,'[1]Depr Calc'!$A$20:$AG$39,4,FALSE),VLOOKUP($A$12,'[1]Depr Calc'!$A$42:$AG$61,4,FALSE))</f>
        <v>3392</v>
      </c>
      <c r="F30" s="184">
        <f>SUM(VLOOKUP($A$12,'[1]Depr Calc'!$A$20:$AG$39,8,FALSE),VLOOKUP($A$12,'[1]Depr Calc'!$A$42:$AG$61,8,FALSE),VLOOKUP($A$12,'[1]Depr Calc'!$A$64:$M$83,4,FALSE),VLOOKUP($A$12,'[1]Depr Sum by Asset'!$A$18:$L$36,8,FALSE))</f>
        <v>291512.61582599999</v>
      </c>
      <c r="G30" s="184">
        <f>SUM(VLOOKUP($A$12,'[1]Depr Calc'!$A$20:$AG$39,12,FALSE),VLOOKUP($A$12,'[1]Depr Calc'!$A$42:$AG$61,12,FALSE),VLOOKUP($A$12,'[1]Depr Calc'!$A$64:$M$83,8,FALSE))</f>
        <v>27546</v>
      </c>
      <c r="H30" s="184">
        <f>SUM(VLOOKUP($A$12,'[1]Depr Calc'!$A$20:$AG$39,16,FALSE),VLOOKUP($A$12,'[1]Depr Calc'!$A$42:$AG$61,16,FALSE))</f>
        <v>3332</v>
      </c>
      <c r="I30" s="184">
        <f>SUM(VLOOKUP($A$12,'[1]Depr Calc'!$A$20:$AG$39,20,FALSE),VLOOKUP($A$12,'[1]Depr Calc'!$A$42:$AG$61,20,FALSE))</f>
        <v>437</v>
      </c>
      <c r="J30" s="184">
        <f>SUM(VLOOKUP($A$12,'[1]Depr Calc'!$A$20:$AG$39,24,FALSE),VLOOKUP($A$12,'[1]Depr Calc'!$A$42:$AG$61,24,FALSE))</f>
        <v>187</v>
      </c>
      <c r="K30" s="188">
        <f>VLOOKUP($A$12,'[1]Depr Sum by Asset'!$A$18:$M$36,6,FALSE)</f>
        <v>26233</v>
      </c>
    </row>
    <row r="31" spans="1:11">
      <c r="A31" s="187" t="s">
        <v>187</v>
      </c>
      <c r="B31" s="173"/>
      <c r="C31" s="173"/>
      <c r="D31" s="189" t="e">
        <f>SUM(E31:K31)</f>
        <v>#N/A</v>
      </c>
      <c r="E31" s="190" t="e">
        <f>E49/D49</f>
        <v>#N/A</v>
      </c>
      <c r="F31" s="190" t="e">
        <f>F49/D49</f>
        <v>#N/A</v>
      </c>
      <c r="G31" s="190" t="e">
        <f>G49/D49</f>
        <v>#N/A</v>
      </c>
      <c r="H31" s="190" t="e">
        <f>H49/D49</f>
        <v>#N/A</v>
      </c>
      <c r="I31" s="190" t="e">
        <f>I49/D49</f>
        <v>#N/A</v>
      </c>
      <c r="J31" s="190" t="e">
        <f>J49/D49</f>
        <v>#N/A</v>
      </c>
      <c r="K31" s="191" t="e">
        <f>K49/D49</f>
        <v>#N/A</v>
      </c>
    </row>
    <row r="32" spans="1:11">
      <c r="A32" s="187" t="s">
        <v>188</v>
      </c>
      <c r="B32" s="173"/>
      <c r="C32" s="173"/>
      <c r="D32" s="107">
        <f>VLOOKUP($A$12,'[1]GP Depr'!$A$76:$E$91,3,FALSE)</f>
        <v>117716</v>
      </c>
      <c r="E32" s="170" t="e">
        <f>D32*E31</f>
        <v>#N/A</v>
      </c>
      <c r="F32" s="170" t="e">
        <f>D32*F31</f>
        <v>#N/A</v>
      </c>
      <c r="G32" s="170" t="e">
        <f>D32*G31</f>
        <v>#N/A</v>
      </c>
      <c r="H32" s="170" t="e">
        <f>D32*H31</f>
        <v>#N/A</v>
      </c>
      <c r="I32" s="170" t="e">
        <f>D32*I31</f>
        <v>#N/A</v>
      </c>
      <c r="J32" s="170" t="e">
        <f>D32*J31</f>
        <v>#N/A</v>
      </c>
      <c r="K32" s="179" t="e">
        <f>D32*K31</f>
        <v>#N/A</v>
      </c>
    </row>
    <row r="33" spans="1:11" ht="15">
      <c r="A33" s="180" t="s">
        <v>189</v>
      </c>
      <c r="B33" s="173"/>
      <c r="C33" s="173"/>
      <c r="D33" s="181" t="e">
        <f>SUM(E33:K33)</f>
        <v>#N/A</v>
      </c>
      <c r="E33" s="181" t="e">
        <f t="shared" ref="E33:K33" si="2">E32+E30</f>
        <v>#N/A</v>
      </c>
      <c r="F33" s="181" t="e">
        <f>F32+F30</f>
        <v>#N/A</v>
      </c>
      <c r="G33" s="181" t="e">
        <f>G32+G30</f>
        <v>#N/A</v>
      </c>
      <c r="H33" s="181" t="e">
        <f t="shared" si="2"/>
        <v>#N/A</v>
      </c>
      <c r="I33" s="181" t="e">
        <f t="shared" si="2"/>
        <v>#N/A</v>
      </c>
      <c r="J33" s="181" t="e">
        <f t="shared" si="2"/>
        <v>#N/A</v>
      </c>
      <c r="K33" s="182" t="e">
        <f t="shared" si="2"/>
        <v>#N/A</v>
      </c>
    </row>
    <row r="34" spans="1:11" ht="9" customHeight="1">
      <c r="A34" s="168"/>
      <c r="B34" s="173"/>
      <c r="C34" s="173"/>
      <c r="D34" s="99"/>
      <c r="E34" s="99"/>
      <c r="F34" s="99"/>
      <c r="G34" s="99"/>
      <c r="H34" s="99"/>
      <c r="I34" s="99"/>
      <c r="J34" s="99"/>
      <c r="K34" s="100"/>
    </row>
    <row r="35" spans="1:11" ht="15">
      <c r="A35" s="166" t="s">
        <v>239</v>
      </c>
      <c r="B35" s="173"/>
      <c r="C35" s="173"/>
      <c r="D35" s="99"/>
      <c r="E35" s="99"/>
      <c r="F35" s="99"/>
      <c r="G35" s="99"/>
      <c r="H35" s="99"/>
      <c r="I35" s="99"/>
      <c r="J35" s="99"/>
      <c r="K35" s="100"/>
    </row>
    <row r="36" spans="1:11">
      <c r="A36" s="192" t="s">
        <v>499</v>
      </c>
      <c r="B36" s="173"/>
      <c r="C36" s="173"/>
      <c r="D36" s="99"/>
      <c r="E36" s="99"/>
      <c r="F36" s="99"/>
      <c r="G36" s="99"/>
      <c r="H36" s="99"/>
      <c r="I36" s="99"/>
      <c r="J36" s="99"/>
      <c r="K36" s="100"/>
    </row>
    <row r="37" spans="1:11">
      <c r="A37" s="193" t="s">
        <v>286</v>
      </c>
      <c r="B37" s="173"/>
      <c r="C37" s="173"/>
      <c r="D37" s="194">
        <f>SUM(E37:J37)</f>
        <v>53823.005644218851</v>
      </c>
      <c r="E37" s="195">
        <f>'[2]T4.1 - OperMaint'!$D$24/1000</f>
        <v>618.34147943144103</v>
      </c>
      <c r="F37" s="195">
        <f>'[2]T4.1 - OperMaint'!$E$24/1000</f>
        <v>48832.749636183224</v>
      </c>
      <c r="G37" s="195">
        <f>'[2]T4.1 - OperMaint'!$F$24/1000</f>
        <v>2251.9919741894219</v>
      </c>
      <c r="H37" s="195">
        <f>'[2]T4.1 - OperMaint'!$G$24/1000</f>
        <v>2106.6816600118982</v>
      </c>
      <c r="I37" s="195">
        <f>'[2]T4.1 - OperMaint'!$H$24/1000</f>
        <v>13.240894402875242</v>
      </c>
      <c r="J37" s="195">
        <f>'[2]T4.1 - OperMaint'!$I$24/1000</f>
        <v>0</v>
      </c>
      <c r="K37" s="100"/>
    </row>
    <row r="38" spans="1:11">
      <c r="A38" s="193" t="s">
        <v>287</v>
      </c>
      <c r="B38" s="173"/>
      <c r="C38" s="173"/>
      <c r="D38" s="194">
        <f>SUM(E38:J38)</f>
        <v>132737.47345136068</v>
      </c>
      <c r="E38" s="195">
        <f>'[2]T4.1 - OperMaint'!$D$17/1000</f>
        <v>3338.1230956561526</v>
      </c>
      <c r="F38" s="195">
        <f>'[2]T4.1 - OperMaint'!$E$17/1000</f>
        <v>108435.56239276817</v>
      </c>
      <c r="G38" s="195">
        <f>'[2]T4.1 - OperMaint'!$F$17/1000</f>
        <v>18653.483372581512</v>
      </c>
      <c r="H38" s="195">
        <f>'[2]T4.1 - OperMaint'!$G$17/1000</f>
        <v>791.08340744031898</v>
      </c>
      <c r="I38" s="195">
        <f>'[2]T4.1 - OperMaint'!$H$17/1000</f>
        <v>1117.8722943054693</v>
      </c>
      <c r="J38" s="195">
        <f>'[2]T4.1 - OperMaint'!$I$17/1000</f>
        <v>401.34888860906045</v>
      </c>
      <c r="K38" s="100"/>
    </row>
    <row r="39" spans="1:11" ht="15">
      <c r="A39" s="196" t="s">
        <v>288</v>
      </c>
      <c r="B39" s="169"/>
      <c r="C39" s="169"/>
      <c r="D39" s="194">
        <f>SUM(D37:D38)</f>
        <v>186560.47909557953</v>
      </c>
      <c r="E39" s="99"/>
      <c r="F39" s="99"/>
      <c r="G39" s="99"/>
      <c r="H39" s="99"/>
      <c r="I39" s="99"/>
      <c r="J39" s="99"/>
      <c r="K39" s="100"/>
    </row>
    <row r="40" spans="1:11">
      <c r="A40" s="197" t="s">
        <v>242</v>
      </c>
      <c r="B40" s="173"/>
      <c r="C40" s="173"/>
      <c r="D40" s="99"/>
      <c r="E40" s="99"/>
      <c r="F40" s="99"/>
      <c r="G40" s="99"/>
      <c r="H40" s="99"/>
      <c r="I40" s="99"/>
      <c r="J40" s="99"/>
      <c r="K40" s="100"/>
    </row>
    <row r="41" spans="1:11">
      <c r="A41" s="186" t="s">
        <v>243</v>
      </c>
      <c r="B41" s="173"/>
      <c r="C41" s="173"/>
      <c r="D41" s="198" t="e">
        <f>SUM((HLOOKUP($A$12,'Expense Input File'!$B$27:$G$59,3,FALSE)),(HLOOKUP($A$12,'Expense Input File'!$B$27:$G$59,4,FALSE)),(HLOOKUP($A$12,'Expense Input File'!$B$27:$G$59,5,FALSE)), (HLOOKUP($A$12,'Expense Input File'!$B$27:$G$59,6,FALSE)),(HLOOKUP($A$12,'Expense Input File'!$B$27:$G$59,7,FALSE)))-$K$41</f>
        <v>#N/A</v>
      </c>
      <c r="E41" s="99"/>
      <c r="F41" s="198" t="e">
        <f>(HLOOKUP($A$12,'Expense Input File'!$A$27:$G$59,33,FALSE))</f>
        <v>#N/A</v>
      </c>
      <c r="G41" s="99"/>
      <c r="H41" s="99"/>
      <c r="I41" s="99"/>
      <c r="J41" s="99"/>
      <c r="K41" s="199" t="e">
        <f>SUM((HLOOKUP($A$12,'Expense Input File'!$B$27:$G$59,3,FALSE)),(HLOOKUP($A$12,'Expense Input File'!$B$27:$G$59,4,FALSE)),(HLOOKUP($A$12,'Expense Input File'!$B$27:$G$59,5,FALSE)), (HLOOKUP($A$12,'Expense Input File'!$B$27:$G$59,6,FALSE)))-(HLOOKUP($A$12,'Expense Input File'!$A$27:$G$59,8,FALSE))</f>
        <v>#N/A</v>
      </c>
    </row>
    <row r="42" spans="1:11">
      <c r="A42" s="186" t="s">
        <v>244</v>
      </c>
      <c r="B42" s="173"/>
      <c r="C42" s="173"/>
      <c r="D42" s="198" t="e">
        <f>HLOOKUP($A$12,'Expense Input File'!$B$14:$G$24,4,FALSE)</f>
        <v>#N/A</v>
      </c>
      <c r="E42" s="99"/>
      <c r="F42" s="99"/>
      <c r="G42" s="99"/>
      <c r="H42" s="99"/>
      <c r="I42" s="99"/>
      <c r="J42" s="99"/>
      <c r="K42" s="100"/>
    </row>
    <row r="43" spans="1:11" ht="5.25" customHeight="1">
      <c r="A43" s="186"/>
      <c r="B43" s="173"/>
      <c r="C43" s="173"/>
      <c r="D43" s="102"/>
      <c r="E43" s="99"/>
      <c r="F43" s="99"/>
      <c r="G43" s="99"/>
      <c r="H43" s="99"/>
      <c r="I43" s="99"/>
      <c r="J43" s="99"/>
      <c r="K43" s="100"/>
    </row>
    <row r="44" spans="1:11">
      <c r="A44" s="200" t="s">
        <v>256</v>
      </c>
      <c r="B44" s="173"/>
      <c r="C44" s="173"/>
      <c r="D44" s="183" t="e">
        <f>SUM(D41:D42)</f>
        <v>#N/A</v>
      </c>
      <c r="E44" s="99"/>
      <c r="F44" s="99"/>
      <c r="G44" s="99"/>
      <c r="H44" s="99"/>
      <c r="I44" s="99"/>
      <c r="J44" s="99"/>
      <c r="K44" s="100"/>
    </row>
    <row r="45" spans="1:11">
      <c r="A45" s="201" t="s">
        <v>257</v>
      </c>
      <c r="B45" s="173"/>
      <c r="C45" s="173"/>
      <c r="D45" s="183" t="e">
        <f>D44-D46</f>
        <v>#N/A</v>
      </c>
      <c r="E45" s="229" t="e">
        <f>(E37/D37)*D45</f>
        <v>#N/A</v>
      </c>
      <c r="F45" s="183" t="e">
        <f>(F37/D37)*D45</f>
        <v>#N/A</v>
      </c>
      <c r="G45" s="183" t="e">
        <f>(G37/D37)*D45</f>
        <v>#N/A</v>
      </c>
      <c r="H45" s="183" t="e">
        <f>(H37/D37)*D45</f>
        <v>#N/A</v>
      </c>
      <c r="I45" s="183" t="e">
        <f>(I37/D37)*D45</f>
        <v>#N/A</v>
      </c>
      <c r="J45" s="183" t="e">
        <f>(J37/D37)*D45</f>
        <v>#N/A</v>
      </c>
      <c r="K45" s="100"/>
    </row>
    <row r="46" spans="1:11">
      <c r="A46" s="201" t="s">
        <v>259</v>
      </c>
      <c r="B46" s="173"/>
      <c r="C46" s="173"/>
      <c r="D46" s="170" t="e">
        <f>((D38/D39)*D44)</f>
        <v>#N/A</v>
      </c>
      <c r="E46" s="229" t="e">
        <f>(E38/D38)*D46</f>
        <v>#N/A</v>
      </c>
      <c r="F46" s="183" t="e">
        <f>(F38/D38)*D46</f>
        <v>#N/A</v>
      </c>
      <c r="G46" s="183" t="e">
        <f>(G38/D38)*D46</f>
        <v>#N/A</v>
      </c>
      <c r="H46" s="183" t="e">
        <f>(H38/D38)*D46</f>
        <v>#N/A</v>
      </c>
      <c r="I46" s="183" t="e">
        <f>(I38/D38)*D46</f>
        <v>#N/A</v>
      </c>
      <c r="J46" s="183" t="e">
        <f>(J38/D38)*D46</f>
        <v>#N/A</v>
      </c>
      <c r="K46" s="100"/>
    </row>
    <row r="47" spans="1:11" ht="15">
      <c r="A47" s="203" t="s">
        <v>258</v>
      </c>
      <c r="B47" s="169"/>
      <c r="C47" s="169"/>
      <c r="D47" s="183" t="e">
        <f>SUM(E47:J47)</f>
        <v>#N/A</v>
      </c>
      <c r="E47" s="183" t="e">
        <f t="shared" ref="E47:J47" si="3">SUM(E45:E46)</f>
        <v>#N/A</v>
      </c>
      <c r="F47" s="183" t="e">
        <f t="shared" si="3"/>
        <v>#N/A</v>
      </c>
      <c r="G47" s="183" t="e">
        <f t="shared" si="3"/>
        <v>#N/A</v>
      </c>
      <c r="H47" s="183" t="e">
        <f t="shared" si="3"/>
        <v>#N/A</v>
      </c>
      <c r="I47" s="183" t="e">
        <f t="shared" si="3"/>
        <v>#N/A</v>
      </c>
      <c r="J47" s="183" t="e">
        <f t="shared" si="3"/>
        <v>#N/A</v>
      </c>
      <c r="K47" s="100"/>
    </row>
    <row r="48" spans="1:11">
      <c r="A48" s="204" t="s">
        <v>25</v>
      </c>
      <c r="B48" s="173"/>
      <c r="C48" s="173"/>
      <c r="D48" s="205" t="e">
        <f>K48</f>
        <v>#N/A</v>
      </c>
      <c r="E48" s="122"/>
      <c r="F48" s="122"/>
      <c r="G48" s="122"/>
      <c r="H48" s="122"/>
      <c r="I48" s="122"/>
      <c r="J48" s="122"/>
      <c r="K48" s="206" t="e">
        <f>SUM((HLOOKUP($A$12,'Expense Input File'!$A$27:$G$59,24,FALSE)),(HLOOKUP($A$12,'Expense Input File'!$A$27:$G$59,25,FALSE)),(HLOOKUP($A$12,'Expense Input File'!$A$27:$G$59,26,FALSE)),(HLOOKUP($A$12,'Expense Input File'!$A$27:$G$59,27,FALSE)),(HLOOKUP($A$12,'Expense Input File'!$A$27:$G$59,28,FALSE)))</f>
        <v>#N/A</v>
      </c>
    </row>
    <row r="49" spans="1:12" ht="15">
      <c r="A49" s="207" t="s">
        <v>260</v>
      </c>
      <c r="B49" s="169"/>
      <c r="C49" s="169"/>
      <c r="D49" s="181" t="e">
        <f>SUM(E49:K49)</f>
        <v>#N/A</v>
      </c>
      <c r="E49" s="181" t="e">
        <f>E47</f>
        <v>#N/A</v>
      </c>
      <c r="F49" s="181" t="e">
        <f>F47+F41</f>
        <v>#N/A</v>
      </c>
      <c r="G49" s="181" t="e">
        <f>G47</f>
        <v>#N/A</v>
      </c>
      <c r="H49" s="181" t="e">
        <f>H47</f>
        <v>#N/A</v>
      </c>
      <c r="I49" s="181" t="e">
        <f>I47</f>
        <v>#N/A</v>
      </c>
      <c r="J49" s="181" t="e">
        <f>J47</f>
        <v>#N/A</v>
      </c>
      <c r="K49" s="182" t="e">
        <f>K48+K41</f>
        <v>#N/A</v>
      </c>
    </row>
    <row r="50" spans="1:12">
      <c r="A50" s="197" t="s">
        <v>261</v>
      </c>
      <c r="B50" s="173"/>
      <c r="C50" s="173"/>
      <c r="D50" s="99"/>
      <c r="E50" s="99"/>
      <c r="F50" s="99"/>
      <c r="G50" s="99"/>
      <c r="H50" s="99"/>
      <c r="I50" s="99"/>
      <c r="J50" s="99"/>
      <c r="K50" s="100"/>
    </row>
    <row r="51" spans="1:12">
      <c r="A51" s="208" t="s">
        <v>47</v>
      </c>
      <c r="B51" s="173"/>
      <c r="C51" s="173"/>
      <c r="D51" s="198" t="e">
        <f>SUM((HLOOKUP($A$12,'Expense Input File'!$A$27:$G$59,10,FALSE)),(HLOOKUP($A$12,'Expense Input File'!$A$27:$G$59,11,FALSE)),(HLOOKUP($A$12,'Expense Input File'!$A$27:$G$59,12,FALSE)),(HLOOKUP($A$12,'Expense Input File'!$A$27:$G$59,13,FALSE)))</f>
        <v>#N/A</v>
      </c>
      <c r="E51" s="170" t="e">
        <f>(E49/D49)*D51</f>
        <v>#N/A</v>
      </c>
      <c r="F51" s="170" t="e">
        <f>(F49/D49)*D51</f>
        <v>#N/A</v>
      </c>
      <c r="G51" s="170" t="e">
        <f>(G49/D49)*D51</f>
        <v>#N/A</v>
      </c>
      <c r="H51" s="170" t="e">
        <f>(H49/D49)*D51</f>
        <v>#N/A</v>
      </c>
      <c r="I51" s="170" t="e">
        <f>(I49/D49)*D51</f>
        <v>#N/A</v>
      </c>
      <c r="J51" s="170" t="e">
        <f>(J49/D49)*D51</f>
        <v>#N/A</v>
      </c>
      <c r="K51" s="179" t="e">
        <f>(K49/D49)*D51</f>
        <v>#N/A</v>
      </c>
    </row>
    <row r="52" spans="1:12">
      <c r="A52" s="208" t="s">
        <v>48</v>
      </c>
      <c r="B52" s="173"/>
      <c r="C52" s="173"/>
      <c r="D52" s="198" t="e">
        <f>SUM((HLOOKUP($A$12,'Expense Input File'!$A$27:$G$59,14,FALSE)),(HLOOKUP($A$12,'Expense Input File'!$A$27:$G$59,16,FALSE)),(HLOOKUP($A$12,'Expense Input File'!$A$27:$G$59,17,FALSE)),(HLOOKUP($A$12,'Expense Input File'!$A$27:$G$59,18,FALSE)),(HLOOKUP($A$12,'Expense Input File'!$A$27:$G$59,19,FALSE)),(HLOOKUP($A$12,'Expense Input File'!$A$27:$G$59,20,FALSE)),(HLOOKUP($A$12,'Expense Input File'!$A$27:$G$59,21,FALSE)),(HLOOKUP($A$12,'Expense Input File'!$A$27:$G$59,30,FALSE)),(HLOOKUP($A$12,'Expense Input File'!$A$27:$G$59,31,FALSE)),(HLOOKUP($A$12,'Expense Input File'!$A$27:$G$59,32,FALSE)))</f>
        <v>#N/A</v>
      </c>
      <c r="E52" s="170" t="e">
        <f>(E49/D49)*D52</f>
        <v>#N/A</v>
      </c>
      <c r="F52" s="170" t="e">
        <f>(F49/D49)*D52</f>
        <v>#N/A</v>
      </c>
      <c r="G52" s="170" t="e">
        <f>(G49/D49)*D52</f>
        <v>#N/A</v>
      </c>
      <c r="H52" s="170" t="e">
        <f>(H49/D49)*D52</f>
        <v>#N/A</v>
      </c>
      <c r="I52" s="170" t="e">
        <f>(I49/D49)*D52</f>
        <v>#N/A</v>
      </c>
      <c r="J52" s="170" t="e">
        <f>(J49/D49)*D52</f>
        <v>#N/A</v>
      </c>
      <c r="K52" s="179" t="e">
        <f>(K49/D49)*D52</f>
        <v>#N/A</v>
      </c>
    </row>
    <row r="53" spans="1:12">
      <c r="A53" s="208" t="s">
        <v>263</v>
      </c>
      <c r="B53" s="173"/>
      <c r="C53" s="173"/>
      <c r="D53" s="198" t="e">
        <f>HLOOKUP($A$12,'Expense Input File'!$B$14:$G$24,3,FALSE)</f>
        <v>#N/A</v>
      </c>
      <c r="E53" s="198" t="e">
        <f>(E49/D49)*(D53-(HLOOKUP($A$12,'Expense Input File'!$A$14:$G$24,10,FALSE)))</f>
        <v>#N/A</v>
      </c>
      <c r="F53" s="107" t="e">
        <f>(F49/D49)*(D53-(HLOOKUP($A$12,'Expense Input File'!$A$14:$G$24,10,FALSE)))</f>
        <v>#N/A</v>
      </c>
      <c r="G53" s="198" t="e">
        <f>(G49/D49)*(D53-(HLOOKUP($A$12,'Expense Input File'!$A$14:$G$24,10,FALSE)))</f>
        <v>#N/A</v>
      </c>
      <c r="H53" s="198" t="e">
        <f>(H49/D49)*(D53-(HLOOKUP($A$12,'Expense Input File'!$A$14:$G$24,10,FALSE)))</f>
        <v>#N/A</v>
      </c>
      <c r="I53" s="198" t="e">
        <f>(I49/D49)*(D53-(HLOOKUP($A$12,'Expense Input File'!$A$14:$G$24,10,FALSE)))</f>
        <v>#N/A</v>
      </c>
      <c r="J53" s="198" t="e">
        <f>(J49/D49)*(D53-(HLOOKUP($A$12,'Expense Input File'!$A$14:$G$24,10,FALSE)))</f>
        <v>#N/A</v>
      </c>
      <c r="K53" s="199" t="e">
        <f>((K49/D49)*(D53-(HLOOKUP($A$12,'Expense Input File'!$A$14:$G$24,10,FALSE))))+(HLOOKUP($A$12,'Expense Input File'!$A$14:$G$24,10,FALSE))</f>
        <v>#N/A</v>
      </c>
    </row>
    <row r="54" spans="1:12">
      <c r="A54" s="208" t="s">
        <v>281</v>
      </c>
      <c r="B54" s="173"/>
      <c r="C54" s="173"/>
      <c r="D54" s="209" t="e">
        <f>SUM((HLOOKUP($A$12,'Expense Input File'!$A$14:$G$24,7,FALSE)),(HLOOKUP($A$12,'Expense Input File'!$A$14:$G$24,8,FALSE)))</f>
        <v>#N/A</v>
      </c>
      <c r="E54" s="210" t="e">
        <f>(E49/D49)*D54</f>
        <v>#N/A</v>
      </c>
      <c r="F54" s="210" t="e">
        <f>(F49/D49)*D54</f>
        <v>#N/A</v>
      </c>
      <c r="G54" s="210" t="e">
        <f>(G49/D49)*D54</f>
        <v>#N/A</v>
      </c>
      <c r="H54" s="210" t="e">
        <f>(H49/D49)*D54</f>
        <v>#N/A</v>
      </c>
      <c r="I54" s="210" t="e">
        <f>(I49/D49)*D54</f>
        <v>#N/A</v>
      </c>
      <c r="J54" s="210" t="e">
        <f>(J49/D49)*D54</f>
        <v>#N/A</v>
      </c>
      <c r="K54" s="211" t="e">
        <f>(K49/D49)*D54</f>
        <v>#N/A</v>
      </c>
    </row>
    <row r="55" spans="1:12" ht="15">
      <c r="A55" s="212" t="s">
        <v>279</v>
      </c>
      <c r="B55" s="173"/>
      <c r="C55" s="173"/>
      <c r="D55" s="181" t="e">
        <f>SUM(D51:D54)</f>
        <v>#N/A</v>
      </c>
      <c r="E55" s="181" t="e">
        <f t="shared" ref="E55:J55" si="4">SUM(E51:E54)</f>
        <v>#N/A</v>
      </c>
      <c r="F55" s="181" t="e">
        <f t="shared" si="4"/>
        <v>#N/A</v>
      </c>
      <c r="G55" s="181" t="e">
        <f t="shared" si="4"/>
        <v>#N/A</v>
      </c>
      <c r="H55" s="181" t="e">
        <f t="shared" si="4"/>
        <v>#N/A</v>
      </c>
      <c r="I55" s="181" t="e">
        <f t="shared" si="4"/>
        <v>#N/A</v>
      </c>
      <c r="J55" s="181" t="e">
        <f t="shared" si="4"/>
        <v>#N/A</v>
      </c>
      <c r="K55" s="182" t="e">
        <f>SUM(K51:K54)</f>
        <v>#N/A</v>
      </c>
      <c r="L55" s="223"/>
    </row>
    <row r="56" spans="1:12" ht="15">
      <c r="A56" s="166" t="s">
        <v>252</v>
      </c>
      <c r="B56" s="173"/>
      <c r="C56" s="173"/>
      <c r="D56" s="181" t="e">
        <f t="shared" ref="D56:K56" si="5">D55+D49</f>
        <v>#N/A</v>
      </c>
      <c r="E56" s="181" t="e">
        <f t="shared" si="5"/>
        <v>#N/A</v>
      </c>
      <c r="F56" s="181" t="e">
        <f t="shared" si="5"/>
        <v>#N/A</v>
      </c>
      <c r="G56" s="181" t="e">
        <f t="shared" si="5"/>
        <v>#N/A</v>
      </c>
      <c r="H56" s="181" t="e">
        <f t="shared" si="5"/>
        <v>#N/A</v>
      </c>
      <c r="I56" s="181" t="e">
        <f t="shared" si="5"/>
        <v>#N/A</v>
      </c>
      <c r="J56" s="181" t="e">
        <f t="shared" si="5"/>
        <v>#N/A</v>
      </c>
      <c r="K56" s="182" t="e">
        <f t="shared" si="5"/>
        <v>#N/A</v>
      </c>
    </row>
    <row r="57" spans="1:12">
      <c r="A57" s="213" t="s">
        <v>178</v>
      </c>
      <c r="B57" s="173"/>
      <c r="C57" s="173"/>
      <c r="D57" s="99"/>
      <c r="E57" s="99"/>
      <c r="F57" s="99"/>
      <c r="G57" s="99"/>
      <c r="H57" s="99"/>
      <c r="I57" s="99"/>
      <c r="J57" s="99"/>
      <c r="K57" s="100"/>
    </row>
    <row r="58" spans="1:12">
      <c r="A58" s="186" t="s">
        <v>268</v>
      </c>
      <c r="B58" s="173"/>
      <c r="C58" s="173"/>
      <c r="D58" s="102"/>
      <c r="E58" s="99"/>
      <c r="F58" s="99"/>
      <c r="G58" s="99"/>
      <c r="H58" s="99"/>
      <c r="I58" s="99"/>
      <c r="J58" s="99"/>
      <c r="K58" s="100"/>
    </row>
    <row r="59" spans="1:12" ht="15">
      <c r="A59" s="186" t="s">
        <v>266</v>
      </c>
      <c r="B59" s="173"/>
      <c r="C59" s="173"/>
      <c r="D59" s="198" t="e">
        <f>(HLOOKUP($A$12,'Expense Input File'!$A$27:$G$80,37,FALSE))</f>
        <v>#N/A</v>
      </c>
      <c r="E59" s="102"/>
      <c r="F59" s="214" t="e">
        <f>$D$59*'[3]Corps Rec Transmission'!$O$3</f>
        <v>#N/A</v>
      </c>
      <c r="G59" s="102"/>
      <c r="H59" s="102"/>
      <c r="I59" s="214" t="e">
        <f>$D$59*'[3]Corps Rec Transmission'!$O$4</f>
        <v>#N/A</v>
      </c>
      <c r="J59" s="102"/>
      <c r="K59" s="100"/>
    </row>
    <row r="60" spans="1:12">
      <c r="A60" s="186" t="s">
        <v>267</v>
      </c>
      <c r="B60" s="173"/>
      <c r="C60" s="173"/>
      <c r="D60" s="198" t="e">
        <f>(HLOOKUP($A$12,'Expense Input File'!$A$27:$G$80,38,FALSE))</f>
        <v>#N/A</v>
      </c>
      <c r="E60" s="102"/>
      <c r="F60" s="133"/>
      <c r="G60" s="183" t="e">
        <f>D60</f>
        <v>#N/A</v>
      </c>
      <c r="H60" s="99"/>
      <c r="I60" s="99"/>
      <c r="J60" s="99"/>
      <c r="K60" s="100"/>
    </row>
    <row r="61" spans="1:12">
      <c r="A61" s="186" t="s">
        <v>265</v>
      </c>
      <c r="B61" s="173"/>
      <c r="C61" s="173"/>
      <c r="D61" s="198" t="e">
        <f>(HLOOKUP($A$12,'Expense Input File'!$A$27:$G$80,41,FALSE))</f>
        <v>#N/A</v>
      </c>
      <c r="E61" s="102"/>
      <c r="F61" s="183" t="e">
        <f>D61</f>
        <v>#N/A</v>
      </c>
      <c r="G61" s="133"/>
      <c r="H61" s="99"/>
      <c r="I61" s="99"/>
      <c r="J61" s="99"/>
      <c r="K61" s="100"/>
    </row>
    <row r="62" spans="1:12" ht="15">
      <c r="A62" s="186" t="s">
        <v>451</v>
      </c>
      <c r="B62" s="173"/>
      <c r="C62" s="173"/>
      <c r="D62" s="198" t="e">
        <f>(HLOOKUP($A$12,'Expense Input File'!$A$27:$G$80,39,FALSE))</f>
        <v>#N/A</v>
      </c>
      <c r="E62" s="102"/>
      <c r="F62" s="216" t="e">
        <f>$D$62*'[4]BP-20-E-BPA-05A Table X.3'!$G$7</f>
        <v>#N/A</v>
      </c>
      <c r="G62" s="216" t="e">
        <f>$D$62*'[4]BP-20-E-BPA-05A Table X.3'!$G$6</f>
        <v>#N/A</v>
      </c>
      <c r="H62" s="99"/>
      <c r="I62" s="99"/>
      <c r="J62" s="99"/>
      <c r="K62" s="100"/>
    </row>
    <row r="63" spans="1:12">
      <c r="A63" s="186" t="s">
        <v>264</v>
      </c>
      <c r="B63" s="173"/>
      <c r="C63" s="173"/>
      <c r="D63" s="198" t="e">
        <f>HLOOKUP($A$12,'Expense Input File'!$B$27:$G$80,42,FALSE)</f>
        <v>#N/A</v>
      </c>
      <c r="E63" s="170" t="e">
        <f>(E38/D38)*D63</f>
        <v>#N/A</v>
      </c>
      <c r="F63" s="170" t="e">
        <f>(F38/D38)*D63</f>
        <v>#N/A</v>
      </c>
      <c r="G63" s="170" t="e">
        <f>(G38/D38)*D63</f>
        <v>#N/A</v>
      </c>
      <c r="H63" s="170" t="e">
        <f>(H38/D38)*D63</f>
        <v>#N/A</v>
      </c>
      <c r="I63" s="170" t="e">
        <f>(I38/D38)*D63</f>
        <v>#N/A</v>
      </c>
      <c r="J63" s="170" t="e">
        <f>(J38/D38)*D63</f>
        <v>#N/A</v>
      </c>
      <c r="K63" s="100"/>
    </row>
    <row r="64" spans="1:12" ht="15">
      <c r="A64" s="186" t="s">
        <v>253</v>
      </c>
      <c r="B64" s="169"/>
      <c r="C64" s="173"/>
      <c r="D64" s="217" t="e">
        <f>K64</f>
        <v>#N/A</v>
      </c>
      <c r="E64" s="123"/>
      <c r="F64" s="122"/>
      <c r="G64" s="122"/>
      <c r="H64" s="122"/>
      <c r="I64" s="122"/>
      <c r="J64" s="122"/>
      <c r="K64" s="206" t="e">
        <f>HLOOKUP($A$12,'Expense Input File'!$A$27:$G$80,35,FALSE)</f>
        <v>#N/A</v>
      </c>
    </row>
    <row r="65" spans="1:11" ht="15">
      <c r="A65" s="180" t="s">
        <v>277</v>
      </c>
      <c r="B65" s="173"/>
      <c r="C65" s="173"/>
      <c r="D65" s="218" t="e">
        <f>SUM(D59:D64)</f>
        <v>#N/A</v>
      </c>
      <c r="E65" s="218" t="e">
        <f t="shared" ref="E65:K65" si="6">SUM(E59:E64)</f>
        <v>#N/A</v>
      </c>
      <c r="F65" s="218" t="e">
        <f t="shared" si="6"/>
        <v>#N/A</v>
      </c>
      <c r="G65" s="218" t="e">
        <f t="shared" si="6"/>
        <v>#N/A</v>
      </c>
      <c r="H65" s="218" t="e">
        <f t="shared" si="6"/>
        <v>#N/A</v>
      </c>
      <c r="I65" s="218" t="e">
        <f t="shared" si="6"/>
        <v>#N/A</v>
      </c>
      <c r="J65" s="218" t="e">
        <f t="shared" si="6"/>
        <v>#N/A</v>
      </c>
      <c r="K65" s="219" t="e">
        <f t="shared" si="6"/>
        <v>#N/A</v>
      </c>
    </row>
    <row r="66" spans="1:11">
      <c r="A66" s="186" t="s">
        <v>269</v>
      </c>
      <c r="B66" s="173"/>
      <c r="C66" s="173"/>
      <c r="D66" s="99"/>
      <c r="E66" s="102"/>
      <c r="F66" s="99"/>
      <c r="G66" s="99"/>
      <c r="H66" s="99"/>
      <c r="I66" s="99"/>
      <c r="J66" s="99"/>
      <c r="K66" s="100"/>
    </row>
    <row r="67" spans="1:11">
      <c r="A67" s="186" t="s">
        <v>43</v>
      </c>
      <c r="B67" s="173"/>
      <c r="C67" s="173"/>
      <c r="D67" s="170" t="e">
        <f>SUM(E67:K67)</f>
        <v>#N/A</v>
      </c>
      <c r="E67" s="198" t="e">
        <f>(HLOOKUP($A$12,'Expense Input File'!$B$60:$G$82,22,FALSE))*E15</f>
        <v>#N/A</v>
      </c>
      <c r="F67" s="198" t="e">
        <f>(HLOOKUP($A$12,'Expense Input File'!$B$60:$G$82,22,FALSE))*F15</f>
        <v>#N/A</v>
      </c>
      <c r="G67" s="198" t="e">
        <f>(HLOOKUP($A$12,'Expense Input File'!$B$60:$G$82,22,FALSE))*G15</f>
        <v>#N/A</v>
      </c>
      <c r="H67" s="198" t="e">
        <f>(HLOOKUP($A$12,'Expense Input File'!$B$60:$G$82,22,FALSE))*H15</f>
        <v>#N/A</v>
      </c>
      <c r="I67" s="198" t="e">
        <f>(HLOOKUP($A$12,'Expense Input File'!$B$60:$G$82,22,FALSE))*I15</f>
        <v>#N/A</v>
      </c>
      <c r="J67" s="198" t="e">
        <f>(HLOOKUP($A$12,'Expense Input File'!$B$60:$G$82,22,FALSE))*J15</f>
        <v>#N/A</v>
      </c>
      <c r="K67" s="199" t="e">
        <f>((HLOOKUP($A$12,'Expense Input File'!$B$60:$G$82,22,FALSE))*K15)+(HLOOKUP($A$12,'Expense Input File'!$B$60:$G$82,23,FALSE))</f>
        <v>#N/A</v>
      </c>
    </row>
    <row r="68" spans="1:11">
      <c r="A68" s="186" t="s">
        <v>44</v>
      </c>
      <c r="B68" s="173"/>
      <c r="C68" s="173"/>
      <c r="D68" s="198" t="e">
        <f>HLOOKUP($A$12,'Expense Input File'!$A$27:$G$80,46,FALSE)</f>
        <v>#N/A</v>
      </c>
      <c r="E68" s="102"/>
      <c r="F68" s="183" t="e">
        <f>D68</f>
        <v>#N/A</v>
      </c>
      <c r="G68" s="108"/>
      <c r="H68" s="108"/>
      <c r="I68" s="108"/>
      <c r="J68" s="108"/>
      <c r="K68" s="109"/>
    </row>
    <row r="69" spans="1:11">
      <c r="A69" s="186" t="s">
        <v>45</v>
      </c>
      <c r="B69" s="173"/>
      <c r="C69" s="173"/>
      <c r="D69" s="198" t="e">
        <f>HLOOKUP($A$12,'Expense Input File'!$A$27:$G$80,47,FALSE)</f>
        <v>#N/A</v>
      </c>
      <c r="E69" s="202" t="e">
        <f>(E49/D49)*D69</f>
        <v>#N/A</v>
      </c>
      <c r="F69" s="170" t="e">
        <f>(F49/D49)*D69</f>
        <v>#N/A</v>
      </c>
      <c r="G69" s="170" t="e">
        <f>(G49/D49)*D69</f>
        <v>#N/A</v>
      </c>
      <c r="H69" s="170" t="e">
        <f>(H49/D49)*D69</f>
        <v>#N/A</v>
      </c>
      <c r="I69" s="170" t="e">
        <f>(I49/D49)*D69</f>
        <v>#N/A</v>
      </c>
      <c r="J69" s="170" t="e">
        <f>(J49/D49)*D69</f>
        <v>#N/A</v>
      </c>
      <c r="K69" s="179" t="e">
        <f>(K49/D49)*D69</f>
        <v>#N/A</v>
      </c>
    </row>
    <row r="70" spans="1:11">
      <c r="A70" s="186" t="s">
        <v>46</v>
      </c>
      <c r="B70" s="173"/>
      <c r="C70" s="173"/>
      <c r="D70" s="209" t="e">
        <f>HLOOKUP($A$12,'Expense Input File'!$A$27:$G$80,48,FALSE)</f>
        <v>#N/A</v>
      </c>
      <c r="E70" s="123"/>
      <c r="F70" s="122"/>
      <c r="G70" s="122"/>
      <c r="H70" s="122"/>
      <c r="I70" s="122"/>
      <c r="J70" s="122"/>
      <c r="K70" s="230" t="e">
        <f>D70</f>
        <v>#N/A</v>
      </c>
    </row>
    <row r="71" spans="1:11" ht="15">
      <c r="A71" s="180" t="s">
        <v>278</v>
      </c>
      <c r="B71" s="173"/>
      <c r="C71" s="173"/>
      <c r="D71" s="218" t="e">
        <f>SUM(D67:D70)</f>
        <v>#N/A</v>
      </c>
      <c r="E71" s="218" t="e">
        <f t="shared" ref="E71:J71" si="7">SUM(E67:E70)</f>
        <v>#N/A</v>
      </c>
      <c r="F71" s="218" t="e">
        <f t="shared" si="7"/>
        <v>#N/A</v>
      </c>
      <c r="G71" s="218" t="e">
        <f t="shared" si="7"/>
        <v>#N/A</v>
      </c>
      <c r="H71" s="218" t="e">
        <f t="shared" si="7"/>
        <v>#N/A</v>
      </c>
      <c r="I71" s="218" t="e">
        <f t="shared" si="7"/>
        <v>#N/A</v>
      </c>
      <c r="J71" s="218" t="e">
        <f t="shared" si="7"/>
        <v>#N/A</v>
      </c>
      <c r="K71" s="219" t="e">
        <f>SUM(K67:K70)</f>
        <v>#N/A</v>
      </c>
    </row>
    <row r="72" spans="1:11" ht="15.75" thickBot="1">
      <c r="A72" s="220" t="s">
        <v>270</v>
      </c>
      <c r="B72" s="220"/>
      <c r="C72" s="220"/>
      <c r="D72" s="221" t="e">
        <f>SUM(E72:K72)</f>
        <v>#N/A</v>
      </c>
      <c r="E72" s="221" t="e">
        <f>E71+E65</f>
        <v>#N/A</v>
      </c>
      <c r="F72" s="221" t="e">
        <f t="shared" ref="F72:K72" si="8">F71+F65</f>
        <v>#N/A</v>
      </c>
      <c r="G72" s="221" t="e">
        <f t="shared" si="8"/>
        <v>#N/A</v>
      </c>
      <c r="H72" s="221" t="e">
        <f t="shared" si="8"/>
        <v>#N/A</v>
      </c>
      <c r="I72" s="221" t="e">
        <f t="shared" si="8"/>
        <v>#N/A</v>
      </c>
      <c r="J72" s="221" t="e">
        <f t="shared" si="8"/>
        <v>#N/A</v>
      </c>
      <c r="K72" s="222" t="e">
        <f t="shared" si="8"/>
        <v>#N/A</v>
      </c>
    </row>
    <row r="75" spans="1:11">
      <c r="A75" s="92"/>
      <c r="B75" s="92"/>
      <c r="C75" s="92"/>
      <c r="D75" s="232"/>
    </row>
  </sheetData>
  <mergeCells count="3">
    <mergeCell ref="A1:K1"/>
    <mergeCell ref="A10:B10"/>
    <mergeCell ref="A12:C12"/>
  </mergeCells>
  <hyperlinks>
    <hyperlink ref="I5" location="'Revenue Requirement'!A1" display="Revenue Requirement"/>
    <hyperlink ref="I4" location="AFUDC!A1" display="AFUDC"/>
    <hyperlink ref="I3" location="'Repayment Inputs'!A1" display="Repayment Inputs"/>
    <hyperlink ref="I6" location="'Expense Input File'!A1" display="Expense Input"/>
    <hyperlink ref="G4" r:id="rId1"/>
    <hyperlink ref="G5" r:id="rId2"/>
    <hyperlink ref="G6" r:id="rId3"/>
    <hyperlink ref="G7" r:id="rId4"/>
  </hyperlinks>
  <pageMargins left="0.25" right="0.25" top="0.75" bottom="0.75" header="0.3" footer="0.3"/>
  <pageSetup scale="56" orientation="portrait" r:id="rId5"/>
  <legacyDrawing r:id="rId6"/>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9" tint="-0.249977111117893"/>
    <pageSetUpPr autoPageBreaks="0"/>
  </sheetPr>
  <dimension ref="A1:L75"/>
  <sheetViews>
    <sheetView workbookViewId="0">
      <pane ySplit="12" topLeftCell="A13" activePane="bottomLeft" state="frozen"/>
      <selection activeCell="C30" sqref="C30"/>
      <selection pane="bottomLeft" activeCell="C30" sqref="C30"/>
    </sheetView>
  </sheetViews>
  <sheetFormatPr defaultColWidth="9.140625" defaultRowHeight="14.25"/>
  <cols>
    <col min="1" max="2" width="9.140625" style="93"/>
    <col min="3" max="3" width="29.28515625" style="93" customWidth="1"/>
    <col min="4" max="11" width="15.7109375" style="93" customWidth="1"/>
    <col min="12" max="16384" width="9.140625" style="93"/>
  </cols>
  <sheetData>
    <row r="1" spans="1:12" ht="18">
      <c r="A1" s="426" t="s">
        <v>528</v>
      </c>
      <c r="B1" s="427"/>
      <c r="C1" s="427"/>
      <c r="D1" s="427"/>
      <c r="E1" s="427"/>
      <c r="F1" s="427"/>
      <c r="G1" s="427"/>
      <c r="H1" s="427"/>
      <c r="I1" s="427"/>
      <c r="J1" s="427"/>
      <c r="K1" s="428"/>
    </row>
    <row r="2" spans="1:12" ht="18">
      <c r="A2" s="121"/>
      <c r="B2" s="127" t="s">
        <v>115</v>
      </c>
      <c r="C2" s="94"/>
      <c r="D2" s="3"/>
      <c r="E2" s="98"/>
      <c r="F2" s="148" t="s">
        <v>377</v>
      </c>
      <c r="G2" s="149"/>
      <c r="H2" s="139"/>
      <c r="I2" s="148" t="s">
        <v>380</v>
      </c>
      <c r="J2" s="140"/>
      <c r="K2" s="150"/>
    </row>
    <row r="3" spans="1:12" ht="18">
      <c r="A3" s="121"/>
      <c r="B3" s="127" t="s">
        <v>74</v>
      </c>
      <c r="C3" s="95"/>
      <c r="D3" s="3"/>
      <c r="E3" s="98"/>
      <c r="F3" s="151" t="s">
        <v>378</v>
      </c>
      <c r="G3" s="152" t="s">
        <v>237</v>
      </c>
      <c r="H3" s="139"/>
      <c r="I3" s="153" t="s">
        <v>241</v>
      </c>
      <c r="J3" s="139"/>
      <c r="K3" s="150"/>
    </row>
    <row r="4" spans="1:12" ht="18" customHeight="1">
      <c r="A4" s="121"/>
      <c r="B4" s="127" t="s">
        <v>10</v>
      </c>
      <c r="C4" s="154"/>
      <c r="D4" s="3"/>
      <c r="E4" s="98"/>
      <c r="F4" s="145" t="str">
        <f>IF('20 Seg Dev'!F4=0," ",'20 Seg Dev'!F4)</f>
        <v xml:space="preserve"> </v>
      </c>
      <c r="G4" s="155" t="s">
        <v>367</v>
      </c>
      <c r="H4" s="139"/>
      <c r="I4" s="156" t="s">
        <v>88</v>
      </c>
      <c r="J4" s="3"/>
      <c r="K4" s="150"/>
    </row>
    <row r="5" spans="1:12" ht="18" customHeight="1">
      <c r="A5" s="121"/>
      <c r="B5" s="128" t="s">
        <v>9</v>
      </c>
      <c r="C5" s="154"/>
      <c r="D5" s="96"/>
      <c r="F5" s="145" t="str">
        <f>IF('20 Seg Dev'!F5=0," ",'20 Seg Dev'!F5)</f>
        <v xml:space="preserve"> </v>
      </c>
      <c r="G5" s="157" t="s">
        <v>369</v>
      </c>
      <c r="H5" s="139"/>
      <c r="I5" s="142" t="s">
        <v>368</v>
      </c>
      <c r="J5" s="96"/>
      <c r="K5" s="150"/>
    </row>
    <row r="6" spans="1:12" ht="15">
      <c r="A6" s="121"/>
      <c r="B6" s="128" t="s">
        <v>364</v>
      </c>
      <c r="C6" s="95"/>
      <c r="D6" s="96"/>
      <c r="E6" s="158"/>
      <c r="F6" s="145" t="str">
        <f>IF('20 Seg Dev'!F6=0," ",'20 Seg Dev'!F6)</f>
        <v xml:space="preserve"> </v>
      </c>
      <c r="G6" s="159" t="s">
        <v>447</v>
      </c>
      <c r="H6" s="139"/>
      <c r="I6" s="160" t="s">
        <v>365</v>
      </c>
      <c r="J6" s="96"/>
      <c r="K6" s="150"/>
    </row>
    <row r="7" spans="1:12" ht="15">
      <c r="A7" s="121"/>
      <c r="B7" s="128" t="s">
        <v>363</v>
      </c>
      <c r="C7" s="95"/>
      <c r="D7" s="96"/>
      <c r="E7" s="158"/>
      <c r="F7" s="145" t="str">
        <f>IF('20 Seg Dev'!F7=0," ",'20 Seg Dev'!F7)</f>
        <v xml:space="preserve"> </v>
      </c>
      <c r="G7" s="97" t="s">
        <v>450</v>
      </c>
      <c r="H7" s="139"/>
      <c r="I7" s="141"/>
      <c r="J7" s="96"/>
      <c r="K7" s="150"/>
    </row>
    <row r="8" spans="1:12" ht="15">
      <c r="A8" s="121"/>
      <c r="B8" s="128" t="s">
        <v>271</v>
      </c>
      <c r="C8" s="161">
        <v>2034</v>
      </c>
      <c r="D8" s="96"/>
      <c r="E8" s="225"/>
      <c r="F8" s="225"/>
      <c r="G8" s="158"/>
      <c r="H8" s="226"/>
      <c r="I8" s="225"/>
      <c r="J8" s="225"/>
      <c r="K8" s="150"/>
    </row>
    <row r="9" spans="1:12" ht="15">
      <c r="A9" s="121"/>
      <c r="B9" s="128"/>
      <c r="C9" s="131"/>
      <c r="D9" s="96"/>
      <c r="E9" s="225"/>
      <c r="F9" s="225"/>
      <c r="G9" s="225"/>
      <c r="H9" s="225"/>
      <c r="I9" s="225"/>
      <c r="J9" s="225"/>
      <c r="K9" s="150"/>
    </row>
    <row r="10" spans="1:12" ht="15">
      <c r="A10" s="422"/>
      <c r="B10" s="423"/>
      <c r="C10" s="143"/>
      <c r="D10" s="116"/>
      <c r="E10" s="116"/>
      <c r="F10" s="116"/>
      <c r="G10" s="116"/>
      <c r="H10" s="116"/>
      <c r="I10" s="116"/>
      <c r="J10" s="116"/>
      <c r="K10" s="117"/>
    </row>
    <row r="11" spans="1:12" ht="15" thickBot="1">
      <c r="A11" s="98"/>
      <c r="B11" s="98"/>
      <c r="C11" s="98"/>
      <c r="D11" s="98"/>
      <c r="E11" s="98"/>
      <c r="F11" s="98"/>
      <c r="G11" s="98"/>
      <c r="H11" s="98"/>
      <c r="I11" s="98"/>
      <c r="J11" s="98"/>
      <c r="K11" s="98"/>
    </row>
    <row r="12" spans="1:12" ht="29.25" customHeight="1">
      <c r="A12" s="424">
        <f>C8</f>
        <v>2034</v>
      </c>
      <c r="B12" s="425"/>
      <c r="C12" s="425"/>
      <c r="D12" s="162" t="s">
        <v>171</v>
      </c>
      <c r="E12" s="163" t="s">
        <v>172</v>
      </c>
      <c r="F12" s="163" t="s">
        <v>173</v>
      </c>
      <c r="G12" s="163" t="s">
        <v>174</v>
      </c>
      <c r="H12" s="163" t="s">
        <v>175</v>
      </c>
      <c r="I12" s="163" t="s">
        <v>176</v>
      </c>
      <c r="J12" s="163" t="s">
        <v>177</v>
      </c>
      <c r="K12" s="164" t="s">
        <v>178</v>
      </c>
      <c r="L12" s="115"/>
    </row>
    <row r="13" spans="1:12" ht="15">
      <c r="A13" s="166" t="s">
        <v>262</v>
      </c>
      <c r="B13" s="130"/>
      <c r="C13" s="130"/>
      <c r="D13" s="129"/>
      <c r="E13" s="129"/>
      <c r="F13" s="129"/>
      <c r="G13" s="129"/>
      <c r="H13" s="129"/>
      <c r="I13" s="129"/>
      <c r="J13" s="129"/>
      <c r="K13" s="167"/>
      <c r="L13" s="115"/>
    </row>
    <row r="14" spans="1:12" ht="15">
      <c r="A14" s="168" t="s">
        <v>179</v>
      </c>
      <c r="B14" s="169"/>
      <c r="C14" s="169"/>
      <c r="D14" s="170" t="e">
        <f>SUM(E14:K14)</f>
        <v>#N/A</v>
      </c>
      <c r="E14" s="107" t="e">
        <f>'[1]Seg Inv Base'!E$222</f>
        <v>#N/A</v>
      </c>
      <c r="F14" s="107" t="e">
        <f>'[1]Seg Inv Base'!F$222</f>
        <v>#N/A</v>
      </c>
      <c r="G14" s="107" t="e">
        <f>'[1]Seg Inv Base'!G$222</f>
        <v>#N/A</v>
      </c>
      <c r="H14" s="107" t="e">
        <f>'[1]Seg Inv Base'!H$222</f>
        <v>#N/A</v>
      </c>
      <c r="I14" s="107" t="e">
        <f>'[1]Seg Inv Base'!I$222</f>
        <v>#N/A</v>
      </c>
      <c r="J14" s="107" t="e">
        <f>'[1]Seg Inv Base'!J$222</f>
        <v>#N/A</v>
      </c>
      <c r="K14" s="106" t="e">
        <f>'[1]Seg Inv Base'!K$222</f>
        <v>#N/A</v>
      </c>
    </row>
    <row r="15" spans="1:12">
      <c r="A15" s="172" t="s">
        <v>240</v>
      </c>
      <c r="B15" s="173"/>
      <c r="C15" s="173"/>
      <c r="D15" s="174" t="e">
        <f>SUM(E15:K15)</f>
        <v>#N/A</v>
      </c>
      <c r="E15" s="175" t="e">
        <f>E14/D14</f>
        <v>#N/A</v>
      </c>
      <c r="F15" s="175" t="e">
        <f>F14/D14</f>
        <v>#N/A</v>
      </c>
      <c r="G15" s="175" t="e">
        <f>G14/D14</f>
        <v>#N/A</v>
      </c>
      <c r="H15" s="175" t="e">
        <f>H14/D14</f>
        <v>#N/A</v>
      </c>
      <c r="I15" s="175" t="e">
        <f>I14/D14</f>
        <v>#N/A</v>
      </c>
      <c r="J15" s="175" t="e">
        <f>J14/D14</f>
        <v>#N/A</v>
      </c>
      <c r="K15" s="176" t="e">
        <f>K14/D14</f>
        <v>#N/A</v>
      </c>
    </row>
    <row r="16" spans="1:12">
      <c r="A16" s="177" t="s">
        <v>82</v>
      </c>
      <c r="B16" s="173"/>
      <c r="C16" s="173"/>
      <c r="D16" s="99"/>
      <c r="E16" s="99"/>
      <c r="F16" s="99"/>
      <c r="G16" s="99"/>
      <c r="H16" s="99"/>
      <c r="I16" s="99"/>
      <c r="J16" s="99"/>
      <c r="K16" s="100"/>
    </row>
    <row r="17" spans="1:11">
      <c r="A17" s="168"/>
      <c r="B17" s="173" t="s">
        <v>482</v>
      </c>
      <c r="C17" s="173"/>
      <c r="D17" s="170" t="e">
        <f>SUM(E17:K17)</f>
        <v>#N/A</v>
      </c>
      <c r="E17" s="102"/>
      <c r="F17" s="104" t="e">
        <f>HLOOKUP($A$12,'Repayment Inputs'!$B$5:$Z$27,19,FALSE)</f>
        <v>#N/A</v>
      </c>
      <c r="G17" s="227"/>
      <c r="H17" s="102"/>
      <c r="I17" s="102"/>
      <c r="J17" s="102"/>
      <c r="K17" s="101"/>
    </row>
    <row r="18" spans="1:11">
      <c r="A18" s="168"/>
      <c r="B18" s="173" t="s">
        <v>483</v>
      </c>
      <c r="C18" s="173"/>
      <c r="D18" s="170" t="e">
        <f>SUM(E18:K18)</f>
        <v>#N/A</v>
      </c>
      <c r="E18" s="102"/>
      <c r="F18" s="103" t="e">
        <f>-(HLOOKUP($A$12,AFUDC!$I$9:$AJ$34,25,FALSE))</f>
        <v>#N/A</v>
      </c>
      <c r="G18" s="102"/>
      <c r="H18" s="102"/>
      <c r="I18" s="102"/>
      <c r="J18" s="102"/>
      <c r="K18" s="101"/>
    </row>
    <row r="19" spans="1:11">
      <c r="A19" s="168"/>
      <c r="B19" s="173" t="s">
        <v>479</v>
      </c>
      <c r="C19" s="173"/>
      <c r="D19" s="170" t="e">
        <f>SUM(E19:K19)</f>
        <v>#N/A</v>
      </c>
      <c r="E19" s="102"/>
      <c r="F19" s="170" t="e">
        <f>SUM(F17:F18)</f>
        <v>#N/A</v>
      </c>
      <c r="G19" s="102"/>
      <c r="H19" s="102"/>
      <c r="I19" s="102"/>
      <c r="J19" s="102"/>
      <c r="K19" s="101"/>
    </row>
    <row r="20" spans="1:11">
      <c r="A20" s="178" t="s">
        <v>180</v>
      </c>
      <c r="B20" s="173"/>
      <c r="C20" s="173"/>
      <c r="D20" s="105" t="e">
        <f>HLOOKUP($A$12,'Revenue Requirement'!$A$6:$AB$30,25,FALSE)-$D$19</f>
        <v>#N/A</v>
      </c>
      <c r="E20" s="170" t="e">
        <f>D20*E15</f>
        <v>#N/A</v>
      </c>
      <c r="F20" s="170" t="e">
        <f>D20*F15</f>
        <v>#N/A</v>
      </c>
      <c r="G20" s="170" t="e">
        <f>D20*G15</f>
        <v>#N/A</v>
      </c>
      <c r="H20" s="170" t="e">
        <f>D20*H15</f>
        <v>#N/A</v>
      </c>
      <c r="I20" s="170" t="e">
        <f>D20*I15</f>
        <v>#N/A</v>
      </c>
      <c r="J20" s="170" t="e">
        <f>D20*J15</f>
        <v>#N/A</v>
      </c>
      <c r="K20" s="179" t="e">
        <f>D20*K15</f>
        <v>#N/A</v>
      </c>
    </row>
    <row r="21" spans="1:11" ht="15">
      <c r="A21" s="180" t="s">
        <v>181</v>
      </c>
      <c r="B21" s="169"/>
      <c r="C21" s="169"/>
      <c r="D21" s="181" t="e">
        <f t="shared" ref="D21:K21" si="0">D20+D19</f>
        <v>#N/A</v>
      </c>
      <c r="E21" s="181" t="e">
        <f t="shared" si="0"/>
        <v>#N/A</v>
      </c>
      <c r="F21" s="181" t="e">
        <f t="shared" si="0"/>
        <v>#N/A</v>
      </c>
      <c r="G21" s="181" t="e">
        <f t="shared" si="0"/>
        <v>#N/A</v>
      </c>
      <c r="H21" s="181" t="e">
        <f t="shared" si="0"/>
        <v>#N/A</v>
      </c>
      <c r="I21" s="181" t="e">
        <f t="shared" si="0"/>
        <v>#N/A</v>
      </c>
      <c r="J21" s="181" t="e">
        <f t="shared" si="0"/>
        <v>#N/A</v>
      </c>
      <c r="K21" s="182" t="e">
        <f t="shared" si="0"/>
        <v>#N/A</v>
      </c>
    </row>
    <row r="22" spans="1:11">
      <c r="A22" s="177" t="s">
        <v>185</v>
      </c>
      <c r="B22" s="173"/>
      <c r="C22" s="173"/>
      <c r="D22" s="99"/>
      <c r="E22" s="99"/>
      <c r="F22" s="99"/>
      <c r="G22" s="99"/>
      <c r="H22" s="99"/>
      <c r="I22" s="99"/>
      <c r="J22" s="99"/>
      <c r="K22" s="100"/>
    </row>
    <row r="23" spans="1:11">
      <c r="A23" s="168"/>
      <c r="B23" s="173" t="s">
        <v>478</v>
      </c>
      <c r="C23" s="173"/>
      <c r="D23" s="99"/>
      <c r="E23" s="99"/>
      <c r="F23" s="104" t="e">
        <f>HLOOKUP($A$12,'Repayment Inputs'!$A$5:$Z$46,38,FALSE)</f>
        <v>#N/A</v>
      </c>
      <c r="G23" s="227"/>
      <c r="H23" s="99"/>
      <c r="I23" s="99"/>
      <c r="J23" s="99"/>
      <c r="K23" s="100"/>
    </row>
    <row r="24" spans="1:11">
      <c r="A24" s="168"/>
      <c r="B24" s="173" t="s">
        <v>479</v>
      </c>
      <c r="C24" s="173"/>
      <c r="D24" s="99"/>
      <c r="E24" s="99"/>
      <c r="F24" s="183" t="e">
        <f>F19</f>
        <v>#N/A</v>
      </c>
      <c r="G24" s="108"/>
      <c r="H24" s="99"/>
      <c r="I24" s="99"/>
      <c r="J24" s="99"/>
      <c r="K24" s="100"/>
    </row>
    <row r="25" spans="1:11">
      <c r="A25" s="168"/>
      <c r="B25" s="173" t="s">
        <v>480</v>
      </c>
      <c r="C25" s="173"/>
      <c r="D25" s="99"/>
      <c r="E25" s="99"/>
      <c r="F25" s="184">
        <f>SUM(VLOOKUP($A$12,'[1]Customer Funded'!$B$19:$M$60,6,FALSE),VLOOKUP($A$12,'[1]Customer Funded'!$B$19:$M$60,7,FALSE))</f>
        <v>7486.8509630646704</v>
      </c>
      <c r="G25" s="228"/>
      <c r="H25" s="99"/>
      <c r="I25" s="99"/>
      <c r="J25" s="99"/>
      <c r="K25" s="100"/>
    </row>
    <row r="26" spans="1:11">
      <c r="A26" s="168"/>
      <c r="B26" s="173" t="s">
        <v>481</v>
      </c>
      <c r="C26" s="173"/>
      <c r="D26" s="183" t="e">
        <f>F26</f>
        <v>#N/A</v>
      </c>
      <c r="E26" s="99"/>
      <c r="F26" s="183" t="e">
        <f>F23-F24-F25</f>
        <v>#N/A</v>
      </c>
      <c r="G26" s="108"/>
      <c r="H26" s="99"/>
      <c r="I26" s="99"/>
      <c r="J26" s="99"/>
      <c r="K26" s="100"/>
    </row>
    <row r="27" spans="1:11">
      <c r="A27" s="186" t="s">
        <v>463</v>
      </c>
      <c r="B27" s="173"/>
      <c r="C27" s="173"/>
      <c r="D27" s="110" t="e">
        <f>HLOOKUP($A$12,'Revenue Requirement'!$A$6:$AB$36,31,FALSE)-$D$26</f>
        <v>#N/A</v>
      </c>
      <c r="E27" s="170" t="e">
        <f>D27*E15</f>
        <v>#N/A</v>
      </c>
      <c r="F27" s="170" t="e">
        <f>D27*F15</f>
        <v>#N/A</v>
      </c>
      <c r="G27" s="170" t="e">
        <f>D27*G15</f>
        <v>#N/A</v>
      </c>
      <c r="H27" s="170" t="e">
        <f>D27*H15</f>
        <v>#N/A</v>
      </c>
      <c r="I27" s="170" t="e">
        <f>D27*I15</f>
        <v>#N/A</v>
      </c>
      <c r="J27" s="170" t="e">
        <f>D27*J15</f>
        <v>#N/A</v>
      </c>
      <c r="K27" s="179" t="e">
        <f>D27*K15</f>
        <v>#N/A</v>
      </c>
    </row>
    <row r="28" spans="1:11" ht="15">
      <c r="A28" s="180" t="s">
        <v>186</v>
      </c>
      <c r="B28" s="173"/>
      <c r="C28" s="173"/>
      <c r="D28" s="181" t="e">
        <f>D27+D26</f>
        <v>#N/A</v>
      </c>
      <c r="E28" s="181" t="e">
        <f t="shared" ref="E28:K28" si="1">E27+E26</f>
        <v>#N/A</v>
      </c>
      <c r="F28" s="181" t="e">
        <f t="shared" si="1"/>
        <v>#N/A</v>
      </c>
      <c r="G28" s="181" t="e">
        <f t="shared" si="1"/>
        <v>#N/A</v>
      </c>
      <c r="H28" s="181" t="e">
        <f t="shared" si="1"/>
        <v>#N/A</v>
      </c>
      <c r="I28" s="181" t="e">
        <f t="shared" si="1"/>
        <v>#N/A</v>
      </c>
      <c r="J28" s="181" t="e">
        <f t="shared" si="1"/>
        <v>#N/A</v>
      </c>
      <c r="K28" s="182" t="e">
        <f t="shared" si="1"/>
        <v>#N/A</v>
      </c>
    </row>
    <row r="29" spans="1:11" ht="15">
      <c r="A29" s="177" t="s">
        <v>190</v>
      </c>
      <c r="B29" s="173"/>
      <c r="C29" s="173"/>
      <c r="D29" s="125"/>
      <c r="E29" s="125"/>
      <c r="F29" s="125"/>
      <c r="G29" s="125"/>
      <c r="H29" s="125"/>
      <c r="I29" s="125"/>
      <c r="J29" s="125"/>
      <c r="K29" s="124"/>
    </row>
    <row r="30" spans="1:11">
      <c r="A30" s="187" t="s">
        <v>525</v>
      </c>
      <c r="B30" s="173"/>
      <c r="C30" s="173"/>
      <c r="D30" s="170">
        <f>SUM(E30:K30)</f>
        <v>362861.61582599999</v>
      </c>
      <c r="E30" s="184">
        <f>SUM(VLOOKUP($A$12,'[1]Depr Calc'!$A$20:$AG$39,4,FALSE),VLOOKUP($A$12,'[1]Depr Calc'!$A$42:$AG$61,4,FALSE))</f>
        <v>3392</v>
      </c>
      <c r="F30" s="184">
        <f>SUM(VLOOKUP($A$12,'[1]Depr Calc'!$A$20:$AG$39,8,FALSE),VLOOKUP($A$12,'[1]Depr Calc'!$A$42:$AG$61,8,FALSE),VLOOKUP($A$12,'[1]Depr Calc'!$A$64:$M$83,4,FALSE),VLOOKUP($A$12,'[1]Depr Sum by Asset'!$A$18:$L$36,8,FALSE))</f>
        <v>300239.61582599999</v>
      </c>
      <c r="G30" s="184">
        <f>SUM(VLOOKUP($A$12,'[1]Depr Calc'!$A$20:$AG$39,12,FALSE),VLOOKUP($A$12,'[1]Depr Calc'!$A$42:$AG$61,12,FALSE),VLOOKUP($A$12,'[1]Depr Calc'!$A$64:$M$83,8,FALSE))</f>
        <v>27546</v>
      </c>
      <c r="H30" s="184">
        <f>SUM(VLOOKUP($A$12,'[1]Depr Calc'!$A$20:$AG$39,16,FALSE),VLOOKUP($A$12,'[1]Depr Calc'!$A$42:$AG$61,16,FALSE))</f>
        <v>3332</v>
      </c>
      <c r="I30" s="184">
        <f>SUM(VLOOKUP($A$12,'[1]Depr Calc'!$A$20:$AG$39,20,FALSE),VLOOKUP($A$12,'[1]Depr Calc'!$A$42:$AG$61,20,FALSE))</f>
        <v>437</v>
      </c>
      <c r="J30" s="184">
        <f>SUM(VLOOKUP($A$12,'[1]Depr Calc'!$A$20:$AG$39,24,FALSE),VLOOKUP($A$12,'[1]Depr Calc'!$A$42:$AG$61,24,FALSE))</f>
        <v>187</v>
      </c>
      <c r="K30" s="188">
        <f>VLOOKUP($A$12,'[1]Depr Sum by Asset'!$A$18:$M$36,6,FALSE)</f>
        <v>27728</v>
      </c>
    </row>
    <row r="31" spans="1:11">
      <c r="A31" s="187" t="s">
        <v>187</v>
      </c>
      <c r="B31" s="173"/>
      <c r="C31" s="173"/>
      <c r="D31" s="189" t="e">
        <f>SUM(E31:K31)</f>
        <v>#N/A</v>
      </c>
      <c r="E31" s="190" t="e">
        <f>E49/D49</f>
        <v>#N/A</v>
      </c>
      <c r="F31" s="190" t="e">
        <f>F49/D49</f>
        <v>#N/A</v>
      </c>
      <c r="G31" s="190" t="e">
        <f>G49/D49</f>
        <v>#N/A</v>
      </c>
      <c r="H31" s="190" t="e">
        <f>H49/D49</f>
        <v>#N/A</v>
      </c>
      <c r="I31" s="190" t="e">
        <f>I49/D49</f>
        <v>#N/A</v>
      </c>
      <c r="J31" s="190" t="e">
        <f>J49/D49</f>
        <v>#N/A</v>
      </c>
      <c r="K31" s="191" t="e">
        <f>K49/D49</f>
        <v>#N/A</v>
      </c>
    </row>
    <row r="32" spans="1:11">
      <c r="A32" s="187" t="s">
        <v>188</v>
      </c>
      <c r="B32" s="173"/>
      <c r="C32" s="173"/>
      <c r="D32" s="107">
        <f>VLOOKUP($A$12,'[1]GP Depr'!$A$76:$E$91,3,FALSE)</f>
        <v>122277.65943914014</v>
      </c>
      <c r="E32" s="170" t="e">
        <f>D32*E31</f>
        <v>#N/A</v>
      </c>
      <c r="F32" s="170" t="e">
        <f>D32*F31</f>
        <v>#N/A</v>
      </c>
      <c r="G32" s="170" t="e">
        <f>D32*G31</f>
        <v>#N/A</v>
      </c>
      <c r="H32" s="170" t="e">
        <f>D32*H31</f>
        <v>#N/A</v>
      </c>
      <c r="I32" s="170" t="e">
        <f>D32*I31</f>
        <v>#N/A</v>
      </c>
      <c r="J32" s="170" t="e">
        <f>D32*J31</f>
        <v>#N/A</v>
      </c>
      <c r="K32" s="179" t="e">
        <f>D32*K31</f>
        <v>#N/A</v>
      </c>
    </row>
    <row r="33" spans="1:11" ht="15">
      <c r="A33" s="180" t="s">
        <v>189</v>
      </c>
      <c r="B33" s="173"/>
      <c r="C33" s="173"/>
      <c r="D33" s="181" t="e">
        <f>SUM(E33:K33)</f>
        <v>#N/A</v>
      </c>
      <c r="E33" s="181" t="e">
        <f t="shared" ref="E33:K33" si="2">E32+E30</f>
        <v>#N/A</v>
      </c>
      <c r="F33" s="181" t="e">
        <f>F32+F30</f>
        <v>#N/A</v>
      </c>
      <c r="G33" s="181" t="e">
        <f>G32+G30</f>
        <v>#N/A</v>
      </c>
      <c r="H33" s="181" t="e">
        <f t="shared" si="2"/>
        <v>#N/A</v>
      </c>
      <c r="I33" s="181" t="e">
        <f t="shared" si="2"/>
        <v>#N/A</v>
      </c>
      <c r="J33" s="181" t="e">
        <f t="shared" si="2"/>
        <v>#N/A</v>
      </c>
      <c r="K33" s="182" t="e">
        <f t="shared" si="2"/>
        <v>#N/A</v>
      </c>
    </row>
    <row r="34" spans="1:11" ht="9" customHeight="1">
      <c r="A34" s="168"/>
      <c r="B34" s="173"/>
      <c r="C34" s="173"/>
      <c r="D34" s="99"/>
      <c r="E34" s="99"/>
      <c r="F34" s="99"/>
      <c r="G34" s="99"/>
      <c r="H34" s="99"/>
      <c r="I34" s="99"/>
      <c r="J34" s="99"/>
      <c r="K34" s="100"/>
    </row>
    <row r="35" spans="1:11" ht="15">
      <c r="A35" s="166" t="s">
        <v>239</v>
      </c>
      <c r="B35" s="173"/>
      <c r="C35" s="173"/>
      <c r="D35" s="99"/>
      <c r="E35" s="99"/>
      <c r="F35" s="99"/>
      <c r="G35" s="99"/>
      <c r="H35" s="99"/>
      <c r="I35" s="99"/>
      <c r="J35" s="99"/>
      <c r="K35" s="100"/>
    </row>
    <row r="36" spans="1:11">
      <c r="A36" s="192" t="s">
        <v>499</v>
      </c>
      <c r="B36" s="173"/>
      <c r="C36" s="173"/>
      <c r="D36" s="99"/>
      <c r="E36" s="99"/>
      <c r="F36" s="99"/>
      <c r="G36" s="99"/>
      <c r="H36" s="99"/>
      <c r="I36" s="99"/>
      <c r="J36" s="99"/>
      <c r="K36" s="100"/>
    </row>
    <row r="37" spans="1:11">
      <c r="A37" s="193" t="s">
        <v>286</v>
      </c>
      <c r="B37" s="173"/>
      <c r="C37" s="173"/>
      <c r="D37" s="194">
        <f>SUM(E37:J37)</f>
        <v>53823.005644218851</v>
      </c>
      <c r="E37" s="195">
        <f>'[2]T4.1 - OperMaint'!$D$24/1000</f>
        <v>618.34147943144103</v>
      </c>
      <c r="F37" s="195">
        <f>'[2]T4.1 - OperMaint'!$E$24/1000</f>
        <v>48832.749636183224</v>
      </c>
      <c r="G37" s="195">
        <f>'[2]T4.1 - OperMaint'!$F$24/1000</f>
        <v>2251.9919741894219</v>
      </c>
      <c r="H37" s="195">
        <f>'[2]T4.1 - OperMaint'!$G$24/1000</f>
        <v>2106.6816600118982</v>
      </c>
      <c r="I37" s="195">
        <f>'[2]T4.1 - OperMaint'!$H$24/1000</f>
        <v>13.240894402875242</v>
      </c>
      <c r="J37" s="195">
        <f>'[2]T4.1 - OperMaint'!$I$24/1000</f>
        <v>0</v>
      </c>
      <c r="K37" s="100"/>
    </row>
    <row r="38" spans="1:11">
      <c r="A38" s="193" t="s">
        <v>287</v>
      </c>
      <c r="B38" s="173"/>
      <c r="C38" s="173"/>
      <c r="D38" s="194">
        <f>SUM(E38:J38)</f>
        <v>132737.47345136068</v>
      </c>
      <c r="E38" s="195">
        <f>'[2]T4.1 - OperMaint'!$D$17/1000</f>
        <v>3338.1230956561526</v>
      </c>
      <c r="F38" s="195">
        <f>'[2]T4.1 - OperMaint'!$E$17/1000</f>
        <v>108435.56239276817</v>
      </c>
      <c r="G38" s="195">
        <f>'[2]T4.1 - OperMaint'!$F$17/1000</f>
        <v>18653.483372581512</v>
      </c>
      <c r="H38" s="195">
        <f>'[2]T4.1 - OperMaint'!$G$17/1000</f>
        <v>791.08340744031898</v>
      </c>
      <c r="I38" s="195">
        <f>'[2]T4.1 - OperMaint'!$H$17/1000</f>
        <v>1117.8722943054693</v>
      </c>
      <c r="J38" s="195">
        <f>'[2]T4.1 - OperMaint'!$I$17/1000</f>
        <v>401.34888860906045</v>
      </c>
      <c r="K38" s="100"/>
    </row>
    <row r="39" spans="1:11" ht="15">
      <c r="A39" s="196" t="s">
        <v>288</v>
      </c>
      <c r="B39" s="169"/>
      <c r="C39" s="169"/>
      <c r="D39" s="194">
        <f>SUM(D37:D38)</f>
        <v>186560.47909557953</v>
      </c>
      <c r="E39" s="99"/>
      <c r="F39" s="99"/>
      <c r="G39" s="99"/>
      <c r="H39" s="99"/>
      <c r="I39" s="99"/>
      <c r="J39" s="99"/>
      <c r="K39" s="100"/>
    </row>
    <row r="40" spans="1:11">
      <c r="A40" s="197" t="s">
        <v>242</v>
      </c>
      <c r="B40" s="173"/>
      <c r="C40" s="173"/>
      <c r="D40" s="99"/>
      <c r="E40" s="99"/>
      <c r="F40" s="99"/>
      <c r="G40" s="99"/>
      <c r="H40" s="99"/>
      <c r="I40" s="99"/>
      <c r="J40" s="99"/>
      <c r="K40" s="100"/>
    </row>
    <row r="41" spans="1:11">
      <c r="A41" s="186" t="s">
        <v>243</v>
      </c>
      <c r="B41" s="173"/>
      <c r="C41" s="173"/>
      <c r="D41" s="198" t="e">
        <f>SUM((HLOOKUP($A$12,'Expense Input File'!$B$27:$G$59,3,FALSE)),(HLOOKUP($A$12,'Expense Input File'!$B$27:$G$59,4,FALSE)),(HLOOKUP($A$12,'Expense Input File'!$B$27:$G$59,5,FALSE)), (HLOOKUP($A$12,'Expense Input File'!$B$27:$G$59,6,FALSE)),(HLOOKUP($A$12,'Expense Input File'!$B$27:$G$59,7,FALSE)))-$K$41</f>
        <v>#N/A</v>
      </c>
      <c r="E41" s="99"/>
      <c r="F41" s="198" t="e">
        <f>(HLOOKUP($A$12,'Expense Input File'!$A$27:$G$59,33,FALSE))</f>
        <v>#N/A</v>
      </c>
      <c r="G41" s="99"/>
      <c r="H41" s="99"/>
      <c r="I41" s="99"/>
      <c r="J41" s="99"/>
      <c r="K41" s="199" t="e">
        <f>SUM((HLOOKUP($A$12,'Expense Input File'!$B$27:$G$59,3,FALSE)),(HLOOKUP($A$12,'Expense Input File'!$B$27:$G$59,4,FALSE)),(HLOOKUP($A$12,'Expense Input File'!$B$27:$G$59,5,FALSE)), (HLOOKUP($A$12,'Expense Input File'!$B$27:$G$59,6,FALSE)))-(HLOOKUP($A$12,'Expense Input File'!$A$27:$G$59,8,FALSE))</f>
        <v>#N/A</v>
      </c>
    </row>
    <row r="42" spans="1:11">
      <c r="A42" s="186" t="s">
        <v>244</v>
      </c>
      <c r="B42" s="173"/>
      <c r="C42" s="173"/>
      <c r="D42" s="198" t="e">
        <f>HLOOKUP($A$12,'Expense Input File'!$B$14:$G$24,4,FALSE)</f>
        <v>#N/A</v>
      </c>
      <c r="E42" s="99"/>
      <c r="F42" s="99"/>
      <c r="G42" s="99"/>
      <c r="H42" s="99"/>
      <c r="I42" s="99"/>
      <c r="J42" s="99"/>
      <c r="K42" s="100"/>
    </row>
    <row r="43" spans="1:11" ht="5.25" customHeight="1">
      <c r="A43" s="186"/>
      <c r="B43" s="173"/>
      <c r="C43" s="173"/>
      <c r="D43" s="102"/>
      <c r="E43" s="99"/>
      <c r="F43" s="99"/>
      <c r="G43" s="99"/>
      <c r="H43" s="99"/>
      <c r="I43" s="99"/>
      <c r="J43" s="99"/>
      <c r="K43" s="100"/>
    </row>
    <row r="44" spans="1:11">
      <c r="A44" s="200" t="s">
        <v>256</v>
      </c>
      <c r="B44" s="173"/>
      <c r="C44" s="173"/>
      <c r="D44" s="183" t="e">
        <f>SUM(D41:D42)</f>
        <v>#N/A</v>
      </c>
      <c r="E44" s="99"/>
      <c r="F44" s="99"/>
      <c r="G44" s="99"/>
      <c r="H44" s="99"/>
      <c r="I44" s="99"/>
      <c r="J44" s="99"/>
      <c r="K44" s="100"/>
    </row>
    <row r="45" spans="1:11">
      <c r="A45" s="201" t="s">
        <v>257</v>
      </c>
      <c r="B45" s="173"/>
      <c r="C45" s="173"/>
      <c r="D45" s="183" t="e">
        <f>D44-D46</f>
        <v>#N/A</v>
      </c>
      <c r="E45" s="229" t="e">
        <f>(E37/D37)*D45</f>
        <v>#N/A</v>
      </c>
      <c r="F45" s="183" t="e">
        <f>(F37/D37)*D45</f>
        <v>#N/A</v>
      </c>
      <c r="G45" s="183" t="e">
        <f>(G37/D37)*D45</f>
        <v>#N/A</v>
      </c>
      <c r="H45" s="183" t="e">
        <f>(H37/D37)*D45</f>
        <v>#N/A</v>
      </c>
      <c r="I45" s="183" t="e">
        <f>(I37/D37)*D45</f>
        <v>#N/A</v>
      </c>
      <c r="J45" s="183" t="e">
        <f>(J37/D37)*D45</f>
        <v>#N/A</v>
      </c>
      <c r="K45" s="100"/>
    </row>
    <row r="46" spans="1:11">
      <c r="A46" s="201" t="s">
        <v>259</v>
      </c>
      <c r="B46" s="173"/>
      <c r="C46" s="173"/>
      <c r="D46" s="170" t="e">
        <f>((D38/D39)*D44)</f>
        <v>#N/A</v>
      </c>
      <c r="E46" s="229" t="e">
        <f>(E38/D38)*D46</f>
        <v>#N/A</v>
      </c>
      <c r="F46" s="183" t="e">
        <f>(F38/D38)*D46</f>
        <v>#N/A</v>
      </c>
      <c r="G46" s="183" t="e">
        <f>(G38/D38)*D46</f>
        <v>#N/A</v>
      </c>
      <c r="H46" s="183" t="e">
        <f>(H38/D38)*D46</f>
        <v>#N/A</v>
      </c>
      <c r="I46" s="183" t="e">
        <f>(I38/D38)*D46</f>
        <v>#N/A</v>
      </c>
      <c r="J46" s="183" t="e">
        <f>(J38/D38)*D46</f>
        <v>#N/A</v>
      </c>
      <c r="K46" s="100"/>
    </row>
    <row r="47" spans="1:11" ht="15">
      <c r="A47" s="203" t="s">
        <v>258</v>
      </c>
      <c r="B47" s="169"/>
      <c r="C47" s="169"/>
      <c r="D47" s="183" t="e">
        <f>SUM(E47:J47)</f>
        <v>#N/A</v>
      </c>
      <c r="E47" s="183" t="e">
        <f t="shared" ref="E47:J47" si="3">SUM(E45:E46)</f>
        <v>#N/A</v>
      </c>
      <c r="F47" s="183" t="e">
        <f t="shared" si="3"/>
        <v>#N/A</v>
      </c>
      <c r="G47" s="183" t="e">
        <f t="shared" si="3"/>
        <v>#N/A</v>
      </c>
      <c r="H47" s="183" t="e">
        <f t="shared" si="3"/>
        <v>#N/A</v>
      </c>
      <c r="I47" s="183" t="e">
        <f t="shared" si="3"/>
        <v>#N/A</v>
      </c>
      <c r="J47" s="183" t="e">
        <f t="shared" si="3"/>
        <v>#N/A</v>
      </c>
      <c r="K47" s="100"/>
    </row>
    <row r="48" spans="1:11">
      <c r="A48" s="204" t="s">
        <v>25</v>
      </c>
      <c r="B48" s="173"/>
      <c r="C48" s="173"/>
      <c r="D48" s="205" t="e">
        <f>K48</f>
        <v>#N/A</v>
      </c>
      <c r="E48" s="122"/>
      <c r="F48" s="122"/>
      <c r="G48" s="122"/>
      <c r="H48" s="122"/>
      <c r="I48" s="122"/>
      <c r="J48" s="122"/>
      <c r="K48" s="206" t="e">
        <f>SUM((HLOOKUP($A$12,'Expense Input File'!$A$27:$G$59,24,FALSE)),(HLOOKUP($A$12,'Expense Input File'!$A$27:$G$59,25,FALSE)),(HLOOKUP($A$12,'Expense Input File'!$A$27:$G$59,26,FALSE)),(HLOOKUP($A$12,'Expense Input File'!$A$27:$G$59,27,FALSE)),(HLOOKUP($A$12,'Expense Input File'!$A$27:$G$59,28,FALSE)))</f>
        <v>#N/A</v>
      </c>
    </row>
    <row r="49" spans="1:12" ht="15">
      <c r="A49" s="207" t="s">
        <v>260</v>
      </c>
      <c r="B49" s="169"/>
      <c r="C49" s="169"/>
      <c r="D49" s="181" t="e">
        <f>SUM(E49:K49)</f>
        <v>#N/A</v>
      </c>
      <c r="E49" s="181" t="e">
        <f>E47</f>
        <v>#N/A</v>
      </c>
      <c r="F49" s="181" t="e">
        <f>F47+F41</f>
        <v>#N/A</v>
      </c>
      <c r="G49" s="181" t="e">
        <f>G47</f>
        <v>#N/A</v>
      </c>
      <c r="H49" s="181" t="e">
        <f>H47</f>
        <v>#N/A</v>
      </c>
      <c r="I49" s="181" t="e">
        <f>I47</f>
        <v>#N/A</v>
      </c>
      <c r="J49" s="181" t="e">
        <f>J47</f>
        <v>#N/A</v>
      </c>
      <c r="K49" s="182" t="e">
        <f>K48+K41</f>
        <v>#N/A</v>
      </c>
    </row>
    <row r="50" spans="1:12">
      <c r="A50" s="197" t="s">
        <v>261</v>
      </c>
      <c r="B50" s="173"/>
      <c r="C50" s="173"/>
      <c r="D50" s="99"/>
      <c r="E50" s="99"/>
      <c r="F50" s="99"/>
      <c r="G50" s="99"/>
      <c r="H50" s="99"/>
      <c r="I50" s="99"/>
      <c r="J50" s="99"/>
      <c r="K50" s="100"/>
    </row>
    <row r="51" spans="1:12">
      <c r="A51" s="208" t="s">
        <v>47</v>
      </c>
      <c r="B51" s="173"/>
      <c r="C51" s="173"/>
      <c r="D51" s="198" t="e">
        <f>SUM((HLOOKUP($A$12,'Expense Input File'!$A$27:$G$59,10,FALSE)),(HLOOKUP($A$12,'Expense Input File'!$A$27:$G$59,11,FALSE)),(HLOOKUP($A$12,'Expense Input File'!$A$27:$G$59,12,FALSE)),(HLOOKUP($A$12,'Expense Input File'!$A$27:$G$59,13,FALSE)))</f>
        <v>#N/A</v>
      </c>
      <c r="E51" s="170" t="e">
        <f>(E49/D49)*D51</f>
        <v>#N/A</v>
      </c>
      <c r="F51" s="170" t="e">
        <f>(F49/D49)*D51</f>
        <v>#N/A</v>
      </c>
      <c r="G51" s="170" t="e">
        <f>(G49/D49)*D51</f>
        <v>#N/A</v>
      </c>
      <c r="H51" s="170" t="e">
        <f>(H49/D49)*D51</f>
        <v>#N/A</v>
      </c>
      <c r="I51" s="170" t="e">
        <f>(I49/D49)*D51</f>
        <v>#N/A</v>
      </c>
      <c r="J51" s="170" t="e">
        <f>(J49/D49)*D51</f>
        <v>#N/A</v>
      </c>
      <c r="K51" s="179" t="e">
        <f>(K49/D49)*D51</f>
        <v>#N/A</v>
      </c>
    </row>
    <row r="52" spans="1:12">
      <c r="A52" s="208" t="s">
        <v>48</v>
      </c>
      <c r="B52" s="173"/>
      <c r="C52" s="173"/>
      <c r="D52" s="198" t="e">
        <f>SUM((HLOOKUP($A$12,'Expense Input File'!$A$27:$G$59,14,FALSE)),(HLOOKUP($A$12,'Expense Input File'!$A$27:$G$59,16,FALSE)),(HLOOKUP($A$12,'Expense Input File'!$A$27:$G$59,17,FALSE)),(HLOOKUP($A$12,'Expense Input File'!$A$27:$G$59,18,FALSE)),(HLOOKUP($A$12,'Expense Input File'!$A$27:$G$59,19,FALSE)),(HLOOKUP($A$12,'Expense Input File'!$A$27:$G$59,20,FALSE)),(HLOOKUP($A$12,'Expense Input File'!$A$27:$G$59,21,FALSE)),(HLOOKUP($A$12,'Expense Input File'!$A$27:$G$59,30,FALSE)),(HLOOKUP($A$12,'Expense Input File'!$A$27:$G$59,31,FALSE)),(HLOOKUP($A$12,'Expense Input File'!$A$27:$G$59,32,FALSE)))</f>
        <v>#N/A</v>
      </c>
      <c r="E52" s="170" t="e">
        <f>(E49/D49)*D52</f>
        <v>#N/A</v>
      </c>
      <c r="F52" s="170" t="e">
        <f>(F49/D49)*D52</f>
        <v>#N/A</v>
      </c>
      <c r="G52" s="170" t="e">
        <f>(G49/D49)*D52</f>
        <v>#N/A</v>
      </c>
      <c r="H52" s="170" t="e">
        <f>(H49/D49)*D52</f>
        <v>#N/A</v>
      </c>
      <c r="I52" s="170" t="e">
        <f>(I49/D49)*D52</f>
        <v>#N/A</v>
      </c>
      <c r="J52" s="170" t="e">
        <f>(J49/D49)*D52</f>
        <v>#N/A</v>
      </c>
      <c r="K52" s="179" t="e">
        <f>(K49/D49)*D52</f>
        <v>#N/A</v>
      </c>
    </row>
    <row r="53" spans="1:12">
      <c r="A53" s="208" t="s">
        <v>263</v>
      </c>
      <c r="B53" s="173"/>
      <c r="C53" s="173"/>
      <c r="D53" s="198" t="e">
        <f>HLOOKUP($A$12,'Expense Input File'!$B$14:$G$24,3,FALSE)</f>
        <v>#N/A</v>
      </c>
      <c r="E53" s="198" t="e">
        <f>(E49/D49)*(D53-(HLOOKUP($A$12,'Expense Input File'!$A$14:$G$24,10,FALSE)))</f>
        <v>#N/A</v>
      </c>
      <c r="F53" s="107" t="e">
        <f>(F49/D49)*(D53-(HLOOKUP($A$12,'Expense Input File'!$A$14:$G$24,10,FALSE)))</f>
        <v>#N/A</v>
      </c>
      <c r="G53" s="198" t="e">
        <f>(G49/D49)*(D53-(HLOOKUP($A$12,'Expense Input File'!$A$14:$G$24,10,FALSE)))</f>
        <v>#N/A</v>
      </c>
      <c r="H53" s="198" t="e">
        <f>(H49/D49)*(D53-(HLOOKUP($A$12,'Expense Input File'!$A$14:$G$24,10,FALSE)))</f>
        <v>#N/A</v>
      </c>
      <c r="I53" s="198" t="e">
        <f>(I49/D49)*(D53-(HLOOKUP($A$12,'Expense Input File'!$A$14:$G$24,10,FALSE)))</f>
        <v>#N/A</v>
      </c>
      <c r="J53" s="198" t="e">
        <f>(J49/D49)*(D53-(HLOOKUP($A$12,'Expense Input File'!$A$14:$G$24,10,FALSE)))</f>
        <v>#N/A</v>
      </c>
      <c r="K53" s="199" t="e">
        <f>((K49/D49)*(D53-(HLOOKUP($A$12,'Expense Input File'!$A$14:$G$24,10,FALSE))))+(HLOOKUP($A$12,'Expense Input File'!$A$14:$G$24,10,FALSE))</f>
        <v>#N/A</v>
      </c>
    </row>
    <row r="54" spans="1:12">
      <c r="A54" s="208" t="s">
        <v>281</v>
      </c>
      <c r="B54" s="173"/>
      <c r="C54" s="173"/>
      <c r="D54" s="209" t="e">
        <f>SUM((HLOOKUP($A$12,'Expense Input File'!$A$14:$G$24,7,FALSE)),(HLOOKUP($A$12,'Expense Input File'!$A$14:$G$24,8,FALSE)))</f>
        <v>#N/A</v>
      </c>
      <c r="E54" s="210" t="e">
        <f>(E49/D49)*D54</f>
        <v>#N/A</v>
      </c>
      <c r="F54" s="210" t="e">
        <f>(F49/D49)*D54</f>
        <v>#N/A</v>
      </c>
      <c r="G54" s="210" t="e">
        <f>(G49/D49)*D54</f>
        <v>#N/A</v>
      </c>
      <c r="H54" s="210" t="e">
        <f>(H49/D49)*D54</f>
        <v>#N/A</v>
      </c>
      <c r="I54" s="210" t="e">
        <f>(I49/D49)*D54</f>
        <v>#N/A</v>
      </c>
      <c r="J54" s="210" t="e">
        <f>(J49/D49)*D54</f>
        <v>#N/A</v>
      </c>
      <c r="K54" s="211" t="e">
        <f>(K49/D49)*D54</f>
        <v>#N/A</v>
      </c>
    </row>
    <row r="55" spans="1:12" ht="15">
      <c r="A55" s="212" t="s">
        <v>279</v>
      </c>
      <c r="B55" s="173"/>
      <c r="C55" s="173"/>
      <c r="D55" s="181" t="e">
        <f>SUM(D51:D54)</f>
        <v>#N/A</v>
      </c>
      <c r="E55" s="181" t="e">
        <f t="shared" ref="E55:J55" si="4">SUM(E51:E54)</f>
        <v>#N/A</v>
      </c>
      <c r="F55" s="181" t="e">
        <f t="shared" si="4"/>
        <v>#N/A</v>
      </c>
      <c r="G55" s="181" t="e">
        <f t="shared" si="4"/>
        <v>#N/A</v>
      </c>
      <c r="H55" s="181" t="e">
        <f t="shared" si="4"/>
        <v>#N/A</v>
      </c>
      <c r="I55" s="181" t="e">
        <f t="shared" si="4"/>
        <v>#N/A</v>
      </c>
      <c r="J55" s="181" t="e">
        <f t="shared" si="4"/>
        <v>#N/A</v>
      </c>
      <c r="K55" s="182" t="e">
        <f>SUM(K51:K54)</f>
        <v>#N/A</v>
      </c>
      <c r="L55" s="223"/>
    </row>
    <row r="56" spans="1:12" ht="15">
      <c r="A56" s="166" t="s">
        <v>252</v>
      </c>
      <c r="B56" s="173"/>
      <c r="C56" s="173"/>
      <c r="D56" s="181" t="e">
        <f t="shared" ref="D56:K56" si="5">D55+D49</f>
        <v>#N/A</v>
      </c>
      <c r="E56" s="181" t="e">
        <f t="shared" si="5"/>
        <v>#N/A</v>
      </c>
      <c r="F56" s="181" t="e">
        <f t="shared" si="5"/>
        <v>#N/A</v>
      </c>
      <c r="G56" s="181" t="e">
        <f t="shared" si="5"/>
        <v>#N/A</v>
      </c>
      <c r="H56" s="181" t="e">
        <f t="shared" si="5"/>
        <v>#N/A</v>
      </c>
      <c r="I56" s="181" t="e">
        <f t="shared" si="5"/>
        <v>#N/A</v>
      </c>
      <c r="J56" s="181" t="e">
        <f t="shared" si="5"/>
        <v>#N/A</v>
      </c>
      <c r="K56" s="182" t="e">
        <f t="shared" si="5"/>
        <v>#N/A</v>
      </c>
    </row>
    <row r="57" spans="1:12">
      <c r="A57" s="213" t="s">
        <v>178</v>
      </c>
      <c r="B57" s="173"/>
      <c r="C57" s="173"/>
      <c r="D57" s="99"/>
      <c r="E57" s="99"/>
      <c r="F57" s="99"/>
      <c r="G57" s="99"/>
      <c r="H57" s="99"/>
      <c r="I57" s="99"/>
      <c r="J57" s="99"/>
      <c r="K57" s="100"/>
    </row>
    <row r="58" spans="1:12">
      <c r="A58" s="186" t="s">
        <v>268</v>
      </c>
      <c r="B58" s="173"/>
      <c r="C58" s="173"/>
      <c r="D58" s="102"/>
      <c r="E58" s="99"/>
      <c r="F58" s="99"/>
      <c r="G58" s="99"/>
      <c r="H58" s="99"/>
      <c r="I58" s="99"/>
      <c r="J58" s="99"/>
      <c r="K58" s="100"/>
    </row>
    <row r="59" spans="1:12" ht="15">
      <c r="A59" s="186" t="s">
        <v>266</v>
      </c>
      <c r="B59" s="173"/>
      <c r="C59" s="173"/>
      <c r="D59" s="198" t="e">
        <f>(HLOOKUP($A$12,'Expense Input File'!$A$27:$G$80,37,FALSE))</f>
        <v>#N/A</v>
      </c>
      <c r="E59" s="102"/>
      <c r="F59" s="214" t="e">
        <f>$D$59*'[3]Corps Rec Transmission'!$O$3</f>
        <v>#N/A</v>
      </c>
      <c r="G59" s="102"/>
      <c r="H59" s="102"/>
      <c r="I59" s="214" t="e">
        <f>$D$59*'[3]Corps Rec Transmission'!$O$4</f>
        <v>#N/A</v>
      </c>
      <c r="J59" s="102"/>
      <c r="K59" s="100"/>
    </row>
    <row r="60" spans="1:12">
      <c r="A60" s="186" t="s">
        <v>267</v>
      </c>
      <c r="B60" s="173"/>
      <c r="C60" s="173"/>
      <c r="D60" s="198" t="e">
        <f>(HLOOKUP($A$12,'Expense Input File'!$A$27:$G$80,38,FALSE))</f>
        <v>#N/A</v>
      </c>
      <c r="E60" s="102"/>
      <c r="F60" s="133"/>
      <c r="G60" s="183" t="e">
        <f>D60</f>
        <v>#N/A</v>
      </c>
      <c r="H60" s="99"/>
      <c r="I60" s="99"/>
      <c r="J60" s="99"/>
      <c r="K60" s="100"/>
    </row>
    <row r="61" spans="1:12">
      <c r="A61" s="186" t="s">
        <v>265</v>
      </c>
      <c r="B61" s="173"/>
      <c r="C61" s="173"/>
      <c r="D61" s="198" t="e">
        <f>(HLOOKUP($A$12,'Expense Input File'!$A$27:$G$80,41,FALSE))</f>
        <v>#N/A</v>
      </c>
      <c r="E61" s="102"/>
      <c r="F61" s="183" t="e">
        <f>D61</f>
        <v>#N/A</v>
      </c>
      <c r="G61" s="133"/>
      <c r="H61" s="99"/>
      <c r="I61" s="99"/>
      <c r="J61" s="99"/>
      <c r="K61" s="100"/>
    </row>
    <row r="62" spans="1:12" ht="15">
      <c r="A62" s="186" t="s">
        <v>451</v>
      </c>
      <c r="B62" s="173"/>
      <c r="C62" s="173"/>
      <c r="D62" s="198" t="e">
        <f>(HLOOKUP($A$12,'Expense Input File'!$A$27:$G$80,39,FALSE))</f>
        <v>#N/A</v>
      </c>
      <c r="E62" s="102"/>
      <c r="F62" s="216" t="e">
        <f>$D$62*'[4]BP-20-E-BPA-05A Table X.3'!$G$7</f>
        <v>#N/A</v>
      </c>
      <c r="G62" s="216" t="e">
        <f>$D$62*'[4]BP-20-E-BPA-05A Table X.3'!$G$6</f>
        <v>#N/A</v>
      </c>
      <c r="H62" s="99"/>
      <c r="I62" s="99"/>
      <c r="J62" s="99"/>
      <c r="K62" s="100"/>
    </row>
    <row r="63" spans="1:12">
      <c r="A63" s="186" t="s">
        <v>264</v>
      </c>
      <c r="B63" s="173"/>
      <c r="C63" s="173"/>
      <c r="D63" s="198" t="e">
        <f>HLOOKUP($A$12,'Expense Input File'!$B$27:$G$80,42,FALSE)</f>
        <v>#N/A</v>
      </c>
      <c r="E63" s="170" t="e">
        <f>(E38/D38)*D63</f>
        <v>#N/A</v>
      </c>
      <c r="F63" s="170" t="e">
        <f>(F38/D38)*D63</f>
        <v>#N/A</v>
      </c>
      <c r="G63" s="170" t="e">
        <f>(G38/D38)*D63</f>
        <v>#N/A</v>
      </c>
      <c r="H63" s="170" t="e">
        <f>(H38/D38)*D63</f>
        <v>#N/A</v>
      </c>
      <c r="I63" s="170" t="e">
        <f>(I38/D38)*D63</f>
        <v>#N/A</v>
      </c>
      <c r="J63" s="170" t="e">
        <f>(J38/D38)*D63</f>
        <v>#N/A</v>
      </c>
      <c r="K63" s="100"/>
    </row>
    <row r="64" spans="1:12" ht="15">
      <c r="A64" s="186" t="s">
        <v>253</v>
      </c>
      <c r="B64" s="169"/>
      <c r="C64" s="173"/>
      <c r="D64" s="217" t="e">
        <f>K64</f>
        <v>#N/A</v>
      </c>
      <c r="E64" s="123"/>
      <c r="F64" s="122"/>
      <c r="G64" s="122"/>
      <c r="H64" s="122"/>
      <c r="I64" s="122"/>
      <c r="J64" s="122"/>
      <c r="K64" s="206" t="e">
        <f>HLOOKUP($A$12,'Expense Input File'!$A$27:$G$80,35,FALSE)</f>
        <v>#N/A</v>
      </c>
    </row>
    <row r="65" spans="1:11" ht="15">
      <c r="A65" s="180" t="s">
        <v>277</v>
      </c>
      <c r="B65" s="173"/>
      <c r="C65" s="173"/>
      <c r="D65" s="218" t="e">
        <f>SUM(D59:D64)</f>
        <v>#N/A</v>
      </c>
      <c r="E65" s="218" t="e">
        <f t="shared" ref="E65:K65" si="6">SUM(E59:E64)</f>
        <v>#N/A</v>
      </c>
      <c r="F65" s="218" t="e">
        <f t="shared" si="6"/>
        <v>#N/A</v>
      </c>
      <c r="G65" s="218" t="e">
        <f t="shared" si="6"/>
        <v>#N/A</v>
      </c>
      <c r="H65" s="218" t="e">
        <f t="shared" si="6"/>
        <v>#N/A</v>
      </c>
      <c r="I65" s="218" t="e">
        <f t="shared" si="6"/>
        <v>#N/A</v>
      </c>
      <c r="J65" s="218" t="e">
        <f t="shared" si="6"/>
        <v>#N/A</v>
      </c>
      <c r="K65" s="219" t="e">
        <f t="shared" si="6"/>
        <v>#N/A</v>
      </c>
    </row>
    <row r="66" spans="1:11">
      <c r="A66" s="186" t="s">
        <v>269</v>
      </c>
      <c r="B66" s="173"/>
      <c r="C66" s="173"/>
      <c r="D66" s="99"/>
      <c r="E66" s="102"/>
      <c r="F66" s="99"/>
      <c r="G66" s="99"/>
      <c r="H66" s="99"/>
      <c r="I66" s="99"/>
      <c r="J66" s="99"/>
      <c r="K66" s="100"/>
    </row>
    <row r="67" spans="1:11">
      <c r="A67" s="186" t="s">
        <v>43</v>
      </c>
      <c r="B67" s="173"/>
      <c r="C67" s="173"/>
      <c r="D67" s="170" t="e">
        <f>SUM(E67:K67)</f>
        <v>#N/A</v>
      </c>
      <c r="E67" s="198" t="e">
        <f>(HLOOKUP($A$12,'Expense Input File'!$B$60:$G$82,22,FALSE))*E15</f>
        <v>#N/A</v>
      </c>
      <c r="F67" s="198" t="e">
        <f>(HLOOKUP($A$12,'Expense Input File'!$B$60:$G$82,22,FALSE))*F15</f>
        <v>#N/A</v>
      </c>
      <c r="G67" s="198" t="e">
        <f>(HLOOKUP($A$12,'Expense Input File'!$B$60:$G$82,22,FALSE))*G15</f>
        <v>#N/A</v>
      </c>
      <c r="H67" s="198" t="e">
        <f>(HLOOKUP($A$12,'Expense Input File'!$B$60:$G$82,22,FALSE))*H15</f>
        <v>#N/A</v>
      </c>
      <c r="I67" s="198" t="e">
        <f>(HLOOKUP($A$12,'Expense Input File'!$B$60:$G$82,22,FALSE))*I15</f>
        <v>#N/A</v>
      </c>
      <c r="J67" s="198" t="e">
        <f>(HLOOKUP($A$12,'Expense Input File'!$B$60:$G$82,22,FALSE))*J15</f>
        <v>#N/A</v>
      </c>
      <c r="K67" s="199" t="e">
        <f>((HLOOKUP($A$12,'Expense Input File'!$B$60:$G$82,22,FALSE))*K15)+(HLOOKUP($A$12,'Expense Input File'!$B$60:$G$82,23,FALSE))</f>
        <v>#N/A</v>
      </c>
    </row>
    <row r="68" spans="1:11">
      <c r="A68" s="186" t="s">
        <v>44</v>
      </c>
      <c r="B68" s="173"/>
      <c r="C68" s="173"/>
      <c r="D68" s="198" t="e">
        <f>HLOOKUP($A$12,'Expense Input File'!$A$27:$G$80,46,FALSE)</f>
        <v>#N/A</v>
      </c>
      <c r="E68" s="102"/>
      <c r="F68" s="183" t="e">
        <f>D68</f>
        <v>#N/A</v>
      </c>
      <c r="G68" s="108"/>
      <c r="H68" s="108"/>
      <c r="I68" s="108"/>
      <c r="J68" s="108"/>
      <c r="K68" s="109"/>
    </row>
    <row r="69" spans="1:11">
      <c r="A69" s="186" t="s">
        <v>45</v>
      </c>
      <c r="B69" s="173"/>
      <c r="C69" s="173"/>
      <c r="D69" s="198" t="e">
        <f>HLOOKUP($A$12,'Expense Input File'!$A$27:$G$80,47,FALSE)</f>
        <v>#N/A</v>
      </c>
      <c r="E69" s="202" t="e">
        <f>(E49/D49)*D69</f>
        <v>#N/A</v>
      </c>
      <c r="F69" s="170" t="e">
        <f>(F49/D49)*D69</f>
        <v>#N/A</v>
      </c>
      <c r="G69" s="170" t="e">
        <f>(G49/D49)*D69</f>
        <v>#N/A</v>
      </c>
      <c r="H69" s="170" t="e">
        <f>(H49/D49)*D69</f>
        <v>#N/A</v>
      </c>
      <c r="I69" s="170" t="e">
        <f>(I49/D49)*D69</f>
        <v>#N/A</v>
      </c>
      <c r="J69" s="170" t="e">
        <f>(J49/D49)*D69</f>
        <v>#N/A</v>
      </c>
      <c r="K69" s="179" t="e">
        <f>(K49/D49)*D69</f>
        <v>#N/A</v>
      </c>
    </row>
    <row r="70" spans="1:11">
      <c r="A70" s="186" t="s">
        <v>46</v>
      </c>
      <c r="B70" s="173"/>
      <c r="C70" s="173"/>
      <c r="D70" s="209" t="e">
        <f>HLOOKUP($A$12,'Expense Input File'!$A$27:$G$80,48,FALSE)</f>
        <v>#N/A</v>
      </c>
      <c r="E70" s="123"/>
      <c r="F70" s="122"/>
      <c r="G70" s="122"/>
      <c r="H70" s="122"/>
      <c r="I70" s="122"/>
      <c r="J70" s="122"/>
      <c r="K70" s="230" t="e">
        <f>D70</f>
        <v>#N/A</v>
      </c>
    </row>
    <row r="71" spans="1:11" ht="15">
      <c r="A71" s="180" t="s">
        <v>278</v>
      </c>
      <c r="B71" s="173"/>
      <c r="C71" s="173"/>
      <c r="D71" s="218" t="e">
        <f>SUM(D67:D70)</f>
        <v>#N/A</v>
      </c>
      <c r="E71" s="218" t="e">
        <f t="shared" ref="E71:J71" si="7">SUM(E67:E70)</f>
        <v>#N/A</v>
      </c>
      <c r="F71" s="218" t="e">
        <f t="shared" si="7"/>
        <v>#N/A</v>
      </c>
      <c r="G71" s="218" t="e">
        <f t="shared" si="7"/>
        <v>#N/A</v>
      </c>
      <c r="H71" s="218" t="e">
        <f t="shared" si="7"/>
        <v>#N/A</v>
      </c>
      <c r="I71" s="218" t="e">
        <f t="shared" si="7"/>
        <v>#N/A</v>
      </c>
      <c r="J71" s="218" t="e">
        <f t="shared" si="7"/>
        <v>#N/A</v>
      </c>
      <c r="K71" s="219" t="e">
        <f>SUM(K67:K70)</f>
        <v>#N/A</v>
      </c>
    </row>
    <row r="72" spans="1:11" ht="15.75" thickBot="1">
      <c r="A72" s="220" t="s">
        <v>270</v>
      </c>
      <c r="B72" s="220"/>
      <c r="C72" s="220"/>
      <c r="D72" s="221" t="e">
        <f>SUM(E72:K72)</f>
        <v>#N/A</v>
      </c>
      <c r="E72" s="221" t="e">
        <f>E71+E65</f>
        <v>#N/A</v>
      </c>
      <c r="F72" s="221" t="e">
        <f t="shared" ref="F72:K72" si="8">F71+F65</f>
        <v>#N/A</v>
      </c>
      <c r="G72" s="221" t="e">
        <f t="shared" si="8"/>
        <v>#N/A</v>
      </c>
      <c r="H72" s="221" t="e">
        <f t="shared" si="8"/>
        <v>#N/A</v>
      </c>
      <c r="I72" s="221" t="e">
        <f t="shared" si="8"/>
        <v>#N/A</v>
      </c>
      <c r="J72" s="221" t="e">
        <f t="shared" si="8"/>
        <v>#N/A</v>
      </c>
      <c r="K72" s="222" t="e">
        <f t="shared" si="8"/>
        <v>#N/A</v>
      </c>
    </row>
    <row r="75" spans="1:11">
      <c r="A75" s="92"/>
      <c r="B75" s="92"/>
      <c r="C75" s="92"/>
      <c r="D75" s="232"/>
    </row>
  </sheetData>
  <mergeCells count="3">
    <mergeCell ref="A1:K1"/>
    <mergeCell ref="A10:B10"/>
    <mergeCell ref="A12:C12"/>
  </mergeCells>
  <hyperlinks>
    <hyperlink ref="I5" location="'Revenue Requirement'!A1" display="Revenue Requirement"/>
    <hyperlink ref="I4" location="AFUDC!A1" display="AFUDC"/>
    <hyperlink ref="I3" location="'Repayment Inputs'!A1" display="Repayment Inputs"/>
    <hyperlink ref="I6" location="'Expense Input File'!A1" display="Expense Input"/>
    <hyperlink ref="G4" r:id="rId1"/>
    <hyperlink ref="G5" r:id="rId2"/>
    <hyperlink ref="G6" r:id="rId3"/>
    <hyperlink ref="G7" r:id="rId4"/>
  </hyperlinks>
  <pageMargins left="0.7" right="0.7" top="0.75" bottom="0.75" header="0.3" footer="0.3"/>
  <legacy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tint="-0.499984740745262"/>
    <pageSetUpPr autoPageBreaks="0"/>
  </sheetPr>
  <dimension ref="A1:O67"/>
  <sheetViews>
    <sheetView workbookViewId="0">
      <selection activeCell="E5" sqref="E5"/>
    </sheetView>
  </sheetViews>
  <sheetFormatPr defaultColWidth="9.140625" defaultRowHeight="14.25"/>
  <cols>
    <col min="1" max="1" width="45" style="93" customWidth="1"/>
    <col min="2" max="14" width="10.5703125" style="93" bestFit="1" customWidth="1"/>
    <col min="15" max="15" width="10.5703125" style="113" bestFit="1" customWidth="1"/>
    <col min="16" max="16384" width="9.140625" style="93"/>
  </cols>
  <sheetData>
    <row r="1" spans="1:15" ht="18.75" thickBot="1">
      <c r="A1" s="429" t="s">
        <v>413</v>
      </c>
      <c r="B1" s="430"/>
      <c r="C1" s="430"/>
      <c r="D1" s="430"/>
      <c r="E1" s="430"/>
      <c r="F1" s="430"/>
      <c r="G1" s="430"/>
      <c r="H1" s="430"/>
      <c r="I1" s="430"/>
      <c r="J1" s="430"/>
      <c r="K1" s="430"/>
      <c r="L1" s="430"/>
      <c r="M1" s="430"/>
      <c r="N1" s="430"/>
      <c r="O1" s="431"/>
    </row>
    <row r="2" spans="1:15" ht="15">
      <c r="A2" s="233" t="s">
        <v>115</v>
      </c>
      <c r="B2" s="432"/>
      <c r="C2" s="432"/>
      <c r="D2" s="234"/>
      <c r="E2" s="235" t="s">
        <v>376</v>
      </c>
      <c r="F2" s="433"/>
      <c r="G2" s="433"/>
      <c r="H2" s="433"/>
      <c r="I2" s="433"/>
      <c r="J2" s="433"/>
      <c r="K2" s="433"/>
      <c r="L2" s="433"/>
      <c r="M2" s="433"/>
      <c r="N2" s="433"/>
      <c r="O2" s="434"/>
    </row>
    <row r="3" spans="1:15" ht="15">
      <c r="A3" s="236" t="s">
        <v>414</v>
      </c>
      <c r="B3" s="439"/>
      <c r="C3" s="439"/>
      <c r="D3" s="134"/>
      <c r="E3" s="134"/>
      <c r="F3" s="435"/>
      <c r="G3" s="435"/>
      <c r="H3" s="435"/>
      <c r="I3" s="435"/>
      <c r="J3" s="435"/>
      <c r="K3" s="435"/>
      <c r="L3" s="435"/>
      <c r="M3" s="435"/>
      <c r="N3" s="435"/>
      <c r="O3" s="436"/>
    </row>
    <row r="4" spans="1:15" ht="33" customHeight="1">
      <c r="A4" s="237" t="s">
        <v>415</v>
      </c>
      <c r="B4" s="440"/>
      <c r="C4" s="440"/>
      <c r="D4" s="134"/>
      <c r="E4" s="134"/>
      <c r="F4" s="435"/>
      <c r="G4" s="435"/>
      <c r="H4" s="435"/>
      <c r="I4" s="435"/>
      <c r="J4" s="435"/>
      <c r="K4" s="435"/>
      <c r="L4" s="435"/>
      <c r="M4" s="435"/>
      <c r="N4" s="435"/>
      <c r="O4" s="436"/>
    </row>
    <row r="5" spans="1:15" ht="15.75" thickBot="1">
      <c r="A5" s="238" t="s">
        <v>416</v>
      </c>
      <c r="B5" s="441" t="s">
        <v>170</v>
      </c>
      <c r="C5" s="441"/>
      <c r="D5" s="135"/>
      <c r="E5" s="135"/>
      <c r="F5" s="437"/>
      <c r="G5" s="437"/>
      <c r="H5" s="437"/>
      <c r="I5" s="437"/>
      <c r="J5" s="437"/>
      <c r="K5" s="437"/>
      <c r="L5" s="437"/>
      <c r="M5" s="437"/>
      <c r="N5" s="437"/>
      <c r="O5" s="438"/>
    </row>
    <row r="6" spans="1:15">
      <c r="O6" s="93"/>
    </row>
    <row r="7" spans="1:15" ht="15">
      <c r="A7" s="239" t="str">
        <f>"Changes from "&amp;B4&amp;" to "&amp;B3&amp;" (Thousands)"</f>
        <v>Changes from  to  (Thousands)</v>
      </c>
      <c r="B7" s="147">
        <v>2020</v>
      </c>
      <c r="C7" s="147">
        <f>B7+1</f>
        <v>2021</v>
      </c>
      <c r="D7" s="147">
        <f t="shared" ref="D7:N7" si="0">C7+1</f>
        <v>2022</v>
      </c>
      <c r="E7" s="147">
        <f t="shared" si="0"/>
        <v>2023</v>
      </c>
      <c r="F7" s="147">
        <f t="shared" si="0"/>
        <v>2024</v>
      </c>
      <c r="G7" s="147">
        <f t="shared" si="0"/>
        <v>2025</v>
      </c>
      <c r="H7" s="147">
        <f t="shared" si="0"/>
        <v>2026</v>
      </c>
      <c r="I7" s="147">
        <f t="shared" si="0"/>
        <v>2027</v>
      </c>
      <c r="J7" s="147">
        <f t="shared" si="0"/>
        <v>2028</v>
      </c>
      <c r="K7" s="147">
        <f t="shared" si="0"/>
        <v>2029</v>
      </c>
      <c r="L7" s="147">
        <f t="shared" si="0"/>
        <v>2030</v>
      </c>
      <c r="M7" s="147">
        <f t="shared" si="0"/>
        <v>2031</v>
      </c>
      <c r="N7" s="147">
        <f t="shared" si="0"/>
        <v>2032</v>
      </c>
      <c r="O7" s="240"/>
    </row>
    <row r="8" spans="1:15">
      <c r="A8" s="241" t="s">
        <v>417</v>
      </c>
      <c r="B8" s="242"/>
      <c r="C8" s="242"/>
      <c r="D8" s="242"/>
      <c r="E8" s="242"/>
      <c r="F8" s="242"/>
      <c r="G8" s="242"/>
      <c r="H8" s="242"/>
      <c r="I8" s="242"/>
      <c r="J8" s="242"/>
      <c r="K8" s="242"/>
      <c r="L8" s="242"/>
      <c r="M8" s="242"/>
      <c r="N8" s="242"/>
      <c r="O8" s="118"/>
    </row>
    <row r="9" spans="1:15">
      <c r="A9" s="93" t="s">
        <v>418</v>
      </c>
      <c r="B9" s="111"/>
      <c r="C9" s="111"/>
      <c r="D9" s="111"/>
      <c r="E9" s="111"/>
      <c r="F9" s="111"/>
      <c r="G9" s="111"/>
      <c r="H9" s="111"/>
      <c r="I9" s="111"/>
      <c r="J9" s="111"/>
      <c r="K9" s="111"/>
      <c r="L9" s="111"/>
      <c r="M9" s="111"/>
      <c r="N9" s="111"/>
      <c r="O9" s="118"/>
    </row>
    <row r="10" spans="1:15" ht="15">
      <c r="A10" s="241" t="s">
        <v>419</v>
      </c>
      <c r="B10" s="242"/>
      <c r="C10" s="242"/>
      <c r="D10" s="242"/>
      <c r="E10" s="242"/>
      <c r="F10" s="242"/>
      <c r="G10" s="242"/>
      <c r="H10" s="242"/>
      <c r="I10" s="242"/>
      <c r="J10" s="242"/>
      <c r="K10" s="242"/>
      <c r="L10" s="242"/>
      <c r="M10" s="242"/>
      <c r="N10" s="242"/>
      <c r="O10" s="243"/>
    </row>
    <row r="11" spans="1:15" ht="15">
      <c r="A11" s="93" t="s">
        <v>420</v>
      </c>
      <c r="B11" s="111"/>
      <c r="C11" s="111"/>
      <c r="D11" s="111"/>
      <c r="E11" s="111"/>
      <c r="F11" s="111"/>
      <c r="G11" s="111"/>
      <c r="H11" s="111"/>
      <c r="I11" s="111"/>
      <c r="J11" s="111"/>
      <c r="K11" s="111"/>
      <c r="L11" s="111"/>
      <c r="M11" s="111"/>
      <c r="N11" s="111"/>
      <c r="O11" s="240"/>
    </row>
    <row r="12" spans="1:15">
      <c r="A12" s="241" t="s">
        <v>421</v>
      </c>
      <c r="B12" s="242"/>
      <c r="C12" s="242"/>
      <c r="D12" s="242"/>
      <c r="E12" s="242"/>
      <c r="F12" s="242"/>
      <c r="G12" s="242"/>
      <c r="H12" s="242"/>
      <c r="I12" s="242"/>
      <c r="J12" s="242"/>
      <c r="K12" s="242"/>
      <c r="L12" s="242"/>
      <c r="M12" s="242"/>
      <c r="N12" s="242"/>
      <c r="O12" s="118"/>
    </row>
    <row r="13" spans="1:15">
      <c r="A13" s="93" t="s">
        <v>422</v>
      </c>
      <c r="B13" s="111"/>
      <c r="C13" s="111"/>
      <c r="D13" s="111"/>
      <c r="E13" s="111"/>
      <c r="F13" s="111"/>
      <c r="G13" s="111"/>
      <c r="H13" s="111"/>
      <c r="I13" s="111"/>
      <c r="J13" s="111"/>
      <c r="K13" s="111"/>
      <c r="L13" s="111"/>
      <c r="M13" s="111"/>
      <c r="N13" s="111"/>
      <c r="O13" s="118"/>
    </row>
    <row r="14" spans="1:15" ht="15.75" thickBot="1">
      <c r="A14" s="244" t="s">
        <v>423</v>
      </c>
      <c r="B14" s="245"/>
      <c r="C14" s="245"/>
      <c r="D14" s="245"/>
      <c r="E14" s="245"/>
      <c r="F14" s="245"/>
      <c r="G14" s="245"/>
      <c r="H14" s="245"/>
      <c r="I14" s="245"/>
      <c r="J14" s="245"/>
      <c r="K14" s="245"/>
      <c r="L14" s="245"/>
      <c r="M14" s="245"/>
      <c r="N14" s="245"/>
      <c r="O14" s="240"/>
    </row>
    <row r="15" spans="1:15" ht="15.75" thickTop="1">
      <c r="A15" s="126" t="s">
        <v>424</v>
      </c>
      <c r="B15" s="246">
        <f>SUM(B8:B14)</f>
        <v>0</v>
      </c>
      <c r="C15" s="246">
        <f t="shared" ref="C15:N15" si="1">SUM(C8:C14)</f>
        <v>0</v>
      </c>
      <c r="D15" s="246">
        <f t="shared" si="1"/>
        <v>0</v>
      </c>
      <c r="E15" s="246">
        <f t="shared" si="1"/>
        <v>0</v>
      </c>
      <c r="F15" s="246">
        <f t="shared" si="1"/>
        <v>0</v>
      </c>
      <c r="G15" s="246">
        <f t="shared" si="1"/>
        <v>0</v>
      </c>
      <c r="H15" s="246">
        <f t="shared" si="1"/>
        <v>0</v>
      </c>
      <c r="I15" s="246">
        <f t="shared" si="1"/>
        <v>0</v>
      </c>
      <c r="J15" s="246">
        <f t="shared" si="1"/>
        <v>0</v>
      </c>
      <c r="K15" s="246">
        <f t="shared" si="1"/>
        <v>0</v>
      </c>
      <c r="L15" s="246">
        <f t="shared" si="1"/>
        <v>0</v>
      </c>
      <c r="M15" s="246">
        <f t="shared" si="1"/>
        <v>0</v>
      </c>
      <c r="N15" s="246">
        <f t="shared" si="1"/>
        <v>0</v>
      </c>
      <c r="O15" s="118"/>
    </row>
    <row r="16" spans="1:15">
      <c r="O16" s="118"/>
    </row>
    <row r="17" spans="1:15" ht="30">
      <c r="A17" s="247" t="str">
        <f>"Capital Related Cost Changes from "&amp;B4&amp;" to "&amp;B3&amp;" (Thousands)"</f>
        <v>Capital Related Cost Changes from  to  (Thousands)</v>
      </c>
      <c r="B17" s="147">
        <f>B7</f>
        <v>2020</v>
      </c>
      <c r="C17" s="147">
        <f t="shared" ref="C17:N17" si="2">C7</f>
        <v>2021</v>
      </c>
      <c r="D17" s="147">
        <f t="shared" si="2"/>
        <v>2022</v>
      </c>
      <c r="E17" s="147">
        <f t="shared" si="2"/>
        <v>2023</v>
      </c>
      <c r="F17" s="147">
        <f t="shared" si="2"/>
        <v>2024</v>
      </c>
      <c r="G17" s="147">
        <f t="shared" si="2"/>
        <v>2025</v>
      </c>
      <c r="H17" s="147">
        <f t="shared" si="2"/>
        <v>2026</v>
      </c>
      <c r="I17" s="147">
        <f t="shared" si="2"/>
        <v>2027</v>
      </c>
      <c r="J17" s="147">
        <f t="shared" si="2"/>
        <v>2028</v>
      </c>
      <c r="K17" s="147">
        <f t="shared" si="2"/>
        <v>2029</v>
      </c>
      <c r="L17" s="147">
        <f t="shared" si="2"/>
        <v>2030</v>
      </c>
      <c r="M17" s="147">
        <f t="shared" si="2"/>
        <v>2031</v>
      </c>
      <c r="N17" s="147">
        <f t="shared" si="2"/>
        <v>2032</v>
      </c>
      <c r="O17" s="240"/>
    </row>
    <row r="18" spans="1:15">
      <c r="A18" s="241" t="s">
        <v>407</v>
      </c>
      <c r="B18" s="242"/>
      <c r="C18" s="242"/>
      <c r="D18" s="242"/>
      <c r="E18" s="242"/>
      <c r="F18" s="242"/>
      <c r="G18" s="242"/>
      <c r="H18" s="242"/>
      <c r="I18" s="242"/>
      <c r="J18" s="242"/>
      <c r="K18" s="242"/>
      <c r="L18" s="242"/>
      <c r="M18" s="242"/>
      <c r="N18" s="242"/>
      <c r="O18" s="118"/>
    </row>
    <row r="19" spans="1:15">
      <c r="A19" s="93" t="s">
        <v>409</v>
      </c>
      <c r="B19" s="111"/>
      <c r="C19" s="111"/>
      <c r="D19" s="111"/>
      <c r="E19" s="111"/>
      <c r="F19" s="111"/>
      <c r="G19" s="111"/>
      <c r="H19" s="111"/>
      <c r="I19" s="111"/>
      <c r="J19" s="111"/>
      <c r="K19" s="111"/>
      <c r="L19" s="111"/>
      <c r="M19" s="111"/>
      <c r="N19" s="111"/>
      <c r="O19" s="118"/>
    </row>
    <row r="20" spans="1:15" ht="15.75" thickBot="1">
      <c r="A20" s="244" t="s">
        <v>408</v>
      </c>
      <c r="B20" s="245"/>
      <c r="C20" s="245"/>
      <c r="D20" s="245"/>
      <c r="E20" s="245"/>
      <c r="F20" s="245"/>
      <c r="G20" s="245"/>
      <c r="H20" s="245"/>
      <c r="I20" s="245"/>
      <c r="J20" s="245"/>
      <c r="K20" s="245"/>
      <c r="L20" s="245"/>
      <c r="M20" s="245"/>
      <c r="N20" s="245"/>
      <c r="O20" s="240"/>
    </row>
    <row r="21" spans="1:15" ht="15.75" thickTop="1">
      <c r="A21" s="126" t="s">
        <v>425</v>
      </c>
      <c r="B21" s="246">
        <f>SUM(B18:B20)</f>
        <v>0</v>
      </c>
      <c r="C21" s="246">
        <f t="shared" ref="C21:N21" si="3">SUM(C18:C20)</f>
        <v>0</v>
      </c>
      <c r="D21" s="246">
        <f t="shared" si="3"/>
        <v>0</v>
      </c>
      <c r="E21" s="246">
        <f t="shared" si="3"/>
        <v>0</v>
      </c>
      <c r="F21" s="246">
        <f t="shared" si="3"/>
        <v>0</v>
      </c>
      <c r="G21" s="246">
        <f t="shared" si="3"/>
        <v>0</v>
      </c>
      <c r="H21" s="246">
        <f t="shared" si="3"/>
        <v>0</v>
      </c>
      <c r="I21" s="246">
        <f t="shared" si="3"/>
        <v>0</v>
      </c>
      <c r="J21" s="246">
        <f t="shared" si="3"/>
        <v>0</v>
      </c>
      <c r="K21" s="246">
        <f t="shared" si="3"/>
        <v>0</v>
      </c>
      <c r="L21" s="246">
        <f t="shared" si="3"/>
        <v>0</v>
      </c>
      <c r="M21" s="246">
        <f t="shared" si="3"/>
        <v>0</v>
      </c>
      <c r="N21" s="246">
        <f t="shared" si="3"/>
        <v>0</v>
      </c>
      <c r="O21" s="118"/>
    </row>
    <row r="22" spans="1:15">
      <c r="O22" s="118"/>
    </row>
    <row r="23" spans="1:15" ht="30">
      <c r="A23" s="247" t="s">
        <v>442</v>
      </c>
      <c r="B23" s="147">
        <f>B17</f>
        <v>2020</v>
      </c>
      <c r="C23" s="147">
        <f t="shared" ref="C23:N23" si="4">C17</f>
        <v>2021</v>
      </c>
      <c r="D23" s="147">
        <f t="shared" si="4"/>
        <v>2022</v>
      </c>
      <c r="E23" s="147">
        <f t="shared" si="4"/>
        <v>2023</v>
      </c>
      <c r="F23" s="147">
        <f t="shared" si="4"/>
        <v>2024</v>
      </c>
      <c r="G23" s="147">
        <f t="shared" si="4"/>
        <v>2025</v>
      </c>
      <c r="H23" s="147">
        <f t="shared" si="4"/>
        <v>2026</v>
      </c>
      <c r="I23" s="147">
        <f t="shared" si="4"/>
        <v>2027</v>
      </c>
      <c r="J23" s="147">
        <f t="shared" si="4"/>
        <v>2028</v>
      </c>
      <c r="K23" s="147">
        <f t="shared" si="4"/>
        <v>2029</v>
      </c>
      <c r="L23" s="147">
        <f t="shared" si="4"/>
        <v>2030</v>
      </c>
      <c r="M23" s="147">
        <f t="shared" si="4"/>
        <v>2031</v>
      </c>
      <c r="N23" s="147">
        <f t="shared" si="4"/>
        <v>2032</v>
      </c>
      <c r="O23" s="240"/>
    </row>
    <row r="24" spans="1:15">
      <c r="A24" s="241">
        <f>B3</f>
        <v>0</v>
      </c>
      <c r="B24" s="242"/>
      <c r="C24" s="242"/>
      <c r="D24" s="242"/>
      <c r="E24" s="242"/>
      <c r="F24" s="242"/>
      <c r="G24" s="242"/>
      <c r="H24" s="242"/>
      <c r="I24" s="242"/>
      <c r="J24" s="242"/>
      <c r="K24" s="242"/>
      <c r="L24" s="242"/>
      <c r="M24" s="242"/>
      <c r="N24" s="242"/>
      <c r="O24" s="118"/>
    </row>
    <row r="25" spans="1:15" ht="15" thickBot="1">
      <c r="A25" s="248">
        <f>B4</f>
        <v>0</v>
      </c>
      <c r="B25" s="249"/>
      <c r="C25" s="249"/>
      <c r="D25" s="249"/>
      <c r="E25" s="249"/>
      <c r="F25" s="249"/>
      <c r="G25" s="249"/>
      <c r="H25" s="249"/>
      <c r="I25" s="249"/>
      <c r="J25" s="249"/>
      <c r="K25" s="249"/>
      <c r="L25" s="249"/>
      <c r="M25" s="249"/>
      <c r="N25" s="249"/>
      <c r="O25" s="118"/>
    </row>
    <row r="26" spans="1:15" ht="15.75" thickTop="1">
      <c r="A26" s="250" t="s">
        <v>426</v>
      </c>
      <c r="B26" s="251">
        <f>B24-B25</f>
        <v>0</v>
      </c>
      <c r="C26" s="251">
        <f t="shared" ref="C26:N26" si="5">C24-C25</f>
        <v>0</v>
      </c>
      <c r="D26" s="251">
        <f t="shared" si="5"/>
        <v>0</v>
      </c>
      <c r="E26" s="251">
        <f t="shared" si="5"/>
        <v>0</v>
      </c>
      <c r="F26" s="251">
        <f t="shared" si="5"/>
        <v>0</v>
      </c>
      <c r="G26" s="251">
        <f t="shared" si="5"/>
        <v>0</v>
      </c>
      <c r="H26" s="251">
        <f t="shared" si="5"/>
        <v>0</v>
      </c>
      <c r="I26" s="251">
        <f t="shared" si="5"/>
        <v>0</v>
      </c>
      <c r="J26" s="251">
        <f t="shared" si="5"/>
        <v>0</v>
      </c>
      <c r="K26" s="251">
        <f t="shared" si="5"/>
        <v>0</v>
      </c>
      <c r="L26" s="251">
        <f t="shared" si="5"/>
        <v>0</v>
      </c>
      <c r="M26" s="251">
        <f t="shared" si="5"/>
        <v>0</v>
      </c>
      <c r="N26" s="251">
        <f t="shared" si="5"/>
        <v>0</v>
      </c>
      <c r="O26" s="243"/>
    </row>
    <row r="27" spans="1:15">
      <c r="O27" s="93"/>
    </row>
    <row r="28" spans="1:15" ht="30">
      <c r="A28" s="247" t="s">
        <v>441</v>
      </c>
      <c r="B28" s="147">
        <f>B23</f>
        <v>2020</v>
      </c>
      <c r="C28" s="147">
        <f t="shared" ref="C28:N28" si="6">C23</f>
        <v>2021</v>
      </c>
      <c r="D28" s="147">
        <f t="shared" si="6"/>
        <v>2022</v>
      </c>
      <c r="E28" s="147">
        <f t="shared" si="6"/>
        <v>2023</v>
      </c>
      <c r="F28" s="147">
        <f t="shared" si="6"/>
        <v>2024</v>
      </c>
      <c r="G28" s="147">
        <f t="shared" si="6"/>
        <v>2025</v>
      </c>
      <c r="H28" s="147">
        <f t="shared" si="6"/>
        <v>2026</v>
      </c>
      <c r="I28" s="147">
        <f t="shared" si="6"/>
        <v>2027</v>
      </c>
      <c r="J28" s="147">
        <f t="shared" si="6"/>
        <v>2028</v>
      </c>
      <c r="K28" s="147">
        <f t="shared" si="6"/>
        <v>2029</v>
      </c>
      <c r="L28" s="147">
        <f t="shared" si="6"/>
        <v>2030</v>
      </c>
      <c r="M28" s="147">
        <f t="shared" si="6"/>
        <v>2031</v>
      </c>
      <c r="N28" s="147">
        <f t="shared" si="6"/>
        <v>2032</v>
      </c>
      <c r="O28" s="240"/>
    </row>
    <row r="29" spans="1:15">
      <c r="A29" s="241">
        <f>B3</f>
        <v>0</v>
      </c>
      <c r="B29" s="242"/>
      <c r="C29" s="242"/>
      <c r="D29" s="242"/>
      <c r="E29" s="242"/>
      <c r="F29" s="242"/>
      <c r="G29" s="242"/>
      <c r="H29" s="242"/>
      <c r="I29" s="242"/>
      <c r="J29" s="242"/>
      <c r="K29" s="242"/>
      <c r="L29" s="242"/>
      <c r="M29" s="242"/>
      <c r="N29" s="242"/>
      <c r="O29" s="118"/>
    </row>
    <row r="30" spans="1:15" ht="15" thickBot="1">
      <c r="A30" s="248">
        <f>B4</f>
        <v>0</v>
      </c>
      <c r="B30" s="249"/>
      <c r="C30" s="249"/>
      <c r="D30" s="249"/>
      <c r="E30" s="249"/>
      <c r="F30" s="249"/>
      <c r="G30" s="249"/>
      <c r="H30" s="249"/>
      <c r="I30" s="249"/>
      <c r="J30" s="249"/>
      <c r="K30" s="249"/>
      <c r="L30" s="249"/>
      <c r="M30" s="249"/>
      <c r="N30" s="249"/>
      <c r="O30" s="118"/>
    </row>
    <row r="31" spans="1:15" ht="15.75" thickTop="1">
      <c r="A31" s="250" t="s">
        <v>426</v>
      </c>
      <c r="B31" s="251">
        <f>B29-B30</f>
        <v>0</v>
      </c>
      <c r="C31" s="251">
        <f t="shared" ref="C31:N31" si="7">C29-C30</f>
        <v>0</v>
      </c>
      <c r="D31" s="251">
        <f t="shared" si="7"/>
        <v>0</v>
      </c>
      <c r="E31" s="251">
        <f t="shared" si="7"/>
        <v>0</v>
      </c>
      <c r="F31" s="251">
        <f t="shared" si="7"/>
        <v>0</v>
      </c>
      <c r="G31" s="251">
        <f t="shared" si="7"/>
        <v>0</v>
      </c>
      <c r="H31" s="251">
        <f t="shared" si="7"/>
        <v>0</v>
      </c>
      <c r="I31" s="251">
        <f t="shared" si="7"/>
        <v>0</v>
      </c>
      <c r="J31" s="251">
        <f t="shared" si="7"/>
        <v>0</v>
      </c>
      <c r="K31" s="251">
        <f t="shared" si="7"/>
        <v>0</v>
      </c>
      <c r="L31" s="251">
        <f t="shared" si="7"/>
        <v>0</v>
      </c>
      <c r="M31" s="251">
        <f t="shared" si="7"/>
        <v>0</v>
      </c>
      <c r="N31" s="251">
        <f t="shared" si="7"/>
        <v>0</v>
      </c>
      <c r="O31" s="243"/>
    </row>
    <row r="32" spans="1:15">
      <c r="O32" s="93"/>
    </row>
    <row r="33" spans="1:15" ht="45">
      <c r="A33" s="247" t="s">
        <v>443</v>
      </c>
      <c r="B33" s="147" t="s">
        <v>217</v>
      </c>
      <c r="C33" s="147" t="s">
        <v>218</v>
      </c>
      <c r="D33" s="147" t="s">
        <v>219</v>
      </c>
      <c r="E33" s="147" t="s">
        <v>500</v>
      </c>
      <c r="F33" s="147" t="s">
        <v>501</v>
      </c>
      <c r="G33" s="147" t="s">
        <v>502</v>
      </c>
      <c r="H33" s="240"/>
      <c r="O33" s="93"/>
    </row>
    <row r="34" spans="1:15">
      <c r="A34" s="241">
        <f>B3</f>
        <v>0</v>
      </c>
      <c r="B34" s="242"/>
      <c r="C34" s="242"/>
      <c r="D34" s="242"/>
      <c r="E34" s="242"/>
      <c r="F34" s="242"/>
      <c r="G34" s="242"/>
      <c r="H34" s="118"/>
      <c r="O34" s="93"/>
    </row>
    <row r="35" spans="1:15" ht="15" thickBot="1">
      <c r="A35" s="248">
        <f>B4</f>
        <v>0</v>
      </c>
      <c r="B35" s="249"/>
      <c r="C35" s="249"/>
      <c r="D35" s="249"/>
      <c r="E35" s="249"/>
      <c r="F35" s="249"/>
      <c r="G35" s="249"/>
      <c r="H35" s="118"/>
      <c r="O35" s="93"/>
    </row>
    <row r="36" spans="1:15" ht="15.75" thickTop="1">
      <c r="A36" s="250" t="s">
        <v>426</v>
      </c>
      <c r="B36" s="251">
        <f t="shared" ref="B36:G36" si="8">B34-B35</f>
        <v>0</v>
      </c>
      <c r="C36" s="251">
        <f t="shared" si="8"/>
        <v>0</v>
      </c>
      <c r="D36" s="251">
        <f t="shared" si="8"/>
        <v>0</v>
      </c>
      <c r="E36" s="251">
        <f t="shared" si="8"/>
        <v>0</v>
      </c>
      <c r="F36" s="251">
        <f t="shared" si="8"/>
        <v>0</v>
      </c>
      <c r="G36" s="251">
        <f t="shared" si="8"/>
        <v>0</v>
      </c>
      <c r="H36" s="243"/>
      <c r="O36" s="93"/>
    </row>
    <row r="37" spans="1:15">
      <c r="O37" s="93"/>
    </row>
    <row r="38" spans="1:15" ht="30">
      <c r="A38" s="247" t="s">
        <v>444</v>
      </c>
      <c r="B38" s="147" t="str">
        <f t="shared" ref="B38:G38" si="9">B33</f>
        <v>20/21</v>
      </c>
      <c r="C38" s="147" t="str">
        <f t="shared" si="9"/>
        <v>22/23</v>
      </c>
      <c r="D38" s="147" t="str">
        <f t="shared" si="9"/>
        <v>24/25</v>
      </c>
      <c r="E38" s="147" t="str">
        <f t="shared" si="9"/>
        <v>26/27/28</v>
      </c>
      <c r="F38" s="147" t="str">
        <f t="shared" si="9"/>
        <v>29/30</v>
      </c>
      <c r="G38" s="147" t="str">
        <f t="shared" si="9"/>
        <v>31/32</v>
      </c>
      <c r="H38" s="240"/>
      <c r="O38" s="93"/>
    </row>
    <row r="39" spans="1:15">
      <c r="A39" s="241">
        <f>B3</f>
        <v>0</v>
      </c>
      <c r="B39" s="242"/>
      <c r="C39" s="242"/>
      <c r="D39" s="242"/>
      <c r="E39" s="242"/>
      <c r="F39" s="242"/>
      <c r="G39" s="242"/>
      <c r="H39" s="118"/>
      <c r="O39" s="93"/>
    </row>
    <row r="40" spans="1:15" ht="15" thickBot="1">
      <c r="A40" s="248">
        <f>B4</f>
        <v>0</v>
      </c>
      <c r="B40" s="249"/>
      <c r="C40" s="249"/>
      <c r="D40" s="249"/>
      <c r="E40" s="249"/>
      <c r="F40" s="249"/>
      <c r="G40" s="249"/>
      <c r="H40" s="118"/>
      <c r="O40" s="93"/>
    </row>
    <row r="41" spans="1:15" ht="15.75" thickTop="1">
      <c r="A41" s="250" t="s">
        <v>426</v>
      </c>
      <c r="B41" s="251">
        <f t="shared" ref="B41:G41" si="10">B39-B40</f>
        <v>0</v>
      </c>
      <c r="C41" s="251">
        <f t="shared" si="10"/>
        <v>0</v>
      </c>
      <c r="D41" s="251">
        <f t="shared" si="10"/>
        <v>0</v>
      </c>
      <c r="E41" s="251">
        <f t="shared" si="10"/>
        <v>0</v>
      </c>
      <c r="F41" s="251">
        <f t="shared" si="10"/>
        <v>0</v>
      </c>
      <c r="G41" s="251">
        <f t="shared" si="10"/>
        <v>0</v>
      </c>
      <c r="H41" s="243"/>
      <c r="O41" s="93"/>
    </row>
    <row r="42" spans="1:15">
      <c r="O42" s="93"/>
    </row>
    <row r="43" spans="1:15">
      <c r="O43" s="93"/>
    </row>
    <row r="44" spans="1:15" ht="31.5" customHeight="1">
      <c r="A44" s="247" t="str">
        <f>B3&amp;" Capital Related Costs"&amp;" (Thousands)"</f>
        <v xml:space="preserve"> Capital Related Costs (Thousands)</v>
      </c>
      <c r="B44" s="147">
        <f>B28</f>
        <v>2020</v>
      </c>
      <c r="C44" s="147">
        <f t="shared" ref="C44:N44" si="11">C28</f>
        <v>2021</v>
      </c>
      <c r="D44" s="147">
        <f t="shared" si="11"/>
        <v>2022</v>
      </c>
      <c r="E44" s="147">
        <f t="shared" si="11"/>
        <v>2023</v>
      </c>
      <c r="F44" s="147">
        <f t="shared" si="11"/>
        <v>2024</v>
      </c>
      <c r="G44" s="147">
        <f t="shared" si="11"/>
        <v>2025</v>
      </c>
      <c r="H44" s="147">
        <f t="shared" si="11"/>
        <v>2026</v>
      </c>
      <c r="I44" s="147">
        <f t="shared" si="11"/>
        <v>2027</v>
      </c>
      <c r="J44" s="147">
        <f t="shared" si="11"/>
        <v>2028</v>
      </c>
      <c r="K44" s="147">
        <f t="shared" si="11"/>
        <v>2029</v>
      </c>
      <c r="L44" s="147">
        <f t="shared" si="11"/>
        <v>2030</v>
      </c>
      <c r="M44" s="147">
        <f t="shared" si="11"/>
        <v>2031</v>
      </c>
      <c r="N44" s="147">
        <f t="shared" si="11"/>
        <v>2032</v>
      </c>
      <c r="O44" s="240"/>
    </row>
    <row r="45" spans="1:15">
      <c r="A45" s="241" t="s">
        <v>407</v>
      </c>
      <c r="B45" s="242"/>
      <c r="C45" s="242"/>
      <c r="D45" s="242"/>
      <c r="E45" s="242"/>
      <c r="F45" s="242"/>
      <c r="G45" s="242"/>
      <c r="H45" s="242"/>
      <c r="I45" s="242"/>
      <c r="J45" s="242"/>
      <c r="K45" s="242"/>
      <c r="L45" s="242"/>
      <c r="M45" s="242"/>
      <c r="N45" s="242"/>
      <c r="O45" s="118"/>
    </row>
    <row r="46" spans="1:15">
      <c r="A46" s="93" t="s">
        <v>409</v>
      </c>
      <c r="B46" s="111"/>
      <c r="C46" s="111"/>
      <c r="D46" s="111"/>
      <c r="E46" s="111"/>
      <c r="F46" s="111"/>
      <c r="G46" s="111"/>
      <c r="H46" s="111"/>
      <c r="I46" s="111"/>
      <c r="J46" s="111"/>
      <c r="K46" s="111"/>
      <c r="L46" s="111"/>
      <c r="M46" s="111"/>
      <c r="N46" s="111"/>
      <c r="O46" s="118"/>
    </row>
    <row r="47" spans="1:15" ht="15" thickBot="1">
      <c r="A47" s="244" t="s">
        <v>430</v>
      </c>
      <c r="B47" s="245"/>
      <c r="C47" s="245"/>
      <c r="D47" s="245"/>
      <c r="E47" s="245"/>
      <c r="F47" s="245"/>
      <c r="G47" s="245"/>
      <c r="H47" s="245"/>
      <c r="I47" s="245"/>
      <c r="J47" s="245"/>
      <c r="K47" s="245"/>
      <c r="L47" s="245"/>
      <c r="M47" s="245"/>
      <c r="N47" s="245"/>
      <c r="O47" s="118"/>
    </row>
    <row r="48" spans="1:15" ht="15.75" thickTop="1">
      <c r="A48" s="126" t="s">
        <v>429</v>
      </c>
      <c r="B48" s="246">
        <f>SUM(B45:B47)</f>
        <v>0</v>
      </c>
      <c r="C48" s="246">
        <f>SUM(C45:C47)</f>
        <v>0</v>
      </c>
      <c r="D48" s="246">
        <f>SUM(D45:D47)</f>
        <v>0</v>
      </c>
      <c r="E48" s="246">
        <f t="shared" ref="E48:N48" si="12">SUM(E45:E47)</f>
        <v>0</v>
      </c>
      <c r="F48" s="246">
        <f t="shared" si="12"/>
        <v>0</v>
      </c>
      <c r="G48" s="246">
        <f t="shared" si="12"/>
        <v>0</v>
      </c>
      <c r="H48" s="246">
        <f t="shared" si="12"/>
        <v>0</v>
      </c>
      <c r="I48" s="246">
        <f t="shared" si="12"/>
        <v>0</v>
      </c>
      <c r="J48" s="246">
        <f t="shared" si="12"/>
        <v>0</v>
      </c>
      <c r="K48" s="246">
        <f t="shared" si="12"/>
        <v>0</v>
      </c>
      <c r="L48" s="246">
        <f t="shared" si="12"/>
        <v>0</v>
      </c>
      <c r="M48" s="246">
        <f t="shared" si="12"/>
        <v>0</v>
      </c>
      <c r="N48" s="246">
        <f t="shared" si="12"/>
        <v>0</v>
      </c>
      <c r="O48" s="243"/>
    </row>
    <row r="50" spans="1:15" ht="33.75" customHeight="1">
      <c r="A50" s="247" t="str">
        <f>B3&amp;" Revenue Requirement"&amp;" (Thousands)"</f>
        <v xml:space="preserve"> Revenue Requirement (Thousands)</v>
      </c>
      <c r="B50" s="147">
        <f>B44</f>
        <v>2020</v>
      </c>
      <c r="C50" s="147">
        <f t="shared" ref="C50:N50" si="13">C44</f>
        <v>2021</v>
      </c>
      <c r="D50" s="147">
        <f t="shared" si="13"/>
        <v>2022</v>
      </c>
      <c r="E50" s="147">
        <f t="shared" si="13"/>
        <v>2023</v>
      </c>
      <c r="F50" s="147">
        <f t="shared" si="13"/>
        <v>2024</v>
      </c>
      <c r="G50" s="147">
        <f t="shared" si="13"/>
        <v>2025</v>
      </c>
      <c r="H50" s="147">
        <f t="shared" si="13"/>
        <v>2026</v>
      </c>
      <c r="I50" s="147">
        <f t="shared" si="13"/>
        <v>2027</v>
      </c>
      <c r="J50" s="147">
        <f t="shared" si="13"/>
        <v>2028</v>
      </c>
      <c r="K50" s="147">
        <f t="shared" si="13"/>
        <v>2029</v>
      </c>
      <c r="L50" s="147">
        <f t="shared" si="13"/>
        <v>2030</v>
      </c>
      <c r="M50" s="147">
        <f t="shared" si="13"/>
        <v>2031</v>
      </c>
      <c r="N50" s="147">
        <f t="shared" si="13"/>
        <v>2032</v>
      </c>
      <c r="O50" s="240"/>
    </row>
    <row r="51" spans="1:15">
      <c r="A51" s="241" t="s">
        <v>431</v>
      </c>
      <c r="B51" s="242"/>
      <c r="C51" s="242"/>
      <c r="D51" s="242"/>
      <c r="E51" s="242"/>
      <c r="F51" s="242"/>
      <c r="G51" s="242"/>
      <c r="H51" s="242"/>
      <c r="I51" s="242"/>
      <c r="J51" s="242"/>
      <c r="K51" s="242"/>
      <c r="L51" s="242"/>
      <c r="M51" s="242"/>
      <c r="N51" s="242"/>
      <c r="O51" s="118"/>
    </row>
    <row r="52" spans="1:15">
      <c r="A52" s="93" t="s">
        <v>432</v>
      </c>
      <c r="B52" s="111"/>
      <c r="C52" s="111"/>
      <c r="D52" s="111"/>
      <c r="E52" s="111"/>
      <c r="F52" s="111"/>
      <c r="G52" s="111"/>
      <c r="H52" s="111"/>
      <c r="I52" s="111"/>
      <c r="J52" s="111"/>
      <c r="K52" s="111"/>
      <c r="L52" s="111"/>
      <c r="M52" s="111"/>
      <c r="N52" s="111"/>
      <c r="O52" s="118"/>
    </row>
    <row r="53" spans="1:15" ht="15" thickBot="1">
      <c r="A53" s="244" t="s">
        <v>423</v>
      </c>
      <c r="B53" s="245"/>
      <c r="C53" s="245"/>
      <c r="D53" s="245"/>
      <c r="E53" s="245"/>
      <c r="F53" s="268"/>
      <c r="G53" s="245"/>
      <c r="H53" s="245"/>
      <c r="I53" s="245"/>
      <c r="J53" s="245"/>
      <c r="K53" s="245"/>
      <c r="L53" s="245"/>
      <c r="M53" s="245"/>
      <c r="N53" s="245"/>
      <c r="O53" s="118"/>
    </row>
    <row r="54" spans="1:15" ht="15" thickTop="1">
      <c r="A54" s="93" t="s">
        <v>375</v>
      </c>
      <c r="B54" s="111">
        <f>SUM(B51:B53)</f>
        <v>0</v>
      </c>
      <c r="C54" s="111">
        <f t="shared" ref="C54:N54" si="14">SUM(C51:C53)</f>
        <v>0</v>
      </c>
      <c r="D54" s="111">
        <f t="shared" si="14"/>
        <v>0</v>
      </c>
      <c r="E54" s="111">
        <f t="shared" si="14"/>
        <v>0</v>
      </c>
      <c r="F54" s="111">
        <f t="shared" si="14"/>
        <v>0</v>
      </c>
      <c r="G54" s="111">
        <f t="shared" si="14"/>
        <v>0</v>
      </c>
      <c r="H54" s="111">
        <f t="shared" si="14"/>
        <v>0</v>
      </c>
      <c r="I54" s="111">
        <f t="shared" si="14"/>
        <v>0</v>
      </c>
      <c r="J54" s="111">
        <f t="shared" si="14"/>
        <v>0</v>
      </c>
      <c r="K54" s="111">
        <f t="shared" si="14"/>
        <v>0</v>
      </c>
      <c r="L54" s="111">
        <f t="shared" si="14"/>
        <v>0</v>
      </c>
      <c r="M54" s="111">
        <f t="shared" si="14"/>
        <v>0</v>
      </c>
      <c r="N54" s="111">
        <f t="shared" si="14"/>
        <v>0</v>
      </c>
      <c r="O54" s="118"/>
    </row>
    <row r="57" spans="1:15" ht="28.5">
      <c r="A57" s="252" t="str">
        <f>"Percentages for "&amp;A44</f>
        <v>Percentages for  Capital Related Costs (Thousands)</v>
      </c>
      <c r="B57" s="253">
        <f>B50</f>
        <v>2020</v>
      </c>
      <c r="C57" s="253">
        <f t="shared" ref="C57:N57" si="15">C50</f>
        <v>2021</v>
      </c>
      <c r="D57" s="253">
        <f t="shared" si="15"/>
        <v>2022</v>
      </c>
      <c r="E57" s="253">
        <f t="shared" si="15"/>
        <v>2023</v>
      </c>
      <c r="F57" s="253">
        <f t="shared" si="15"/>
        <v>2024</v>
      </c>
      <c r="G57" s="253">
        <f t="shared" si="15"/>
        <v>2025</v>
      </c>
      <c r="H57" s="253">
        <f t="shared" si="15"/>
        <v>2026</v>
      </c>
      <c r="I57" s="253">
        <f t="shared" si="15"/>
        <v>2027</v>
      </c>
      <c r="J57" s="253">
        <f t="shared" si="15"/>
        <v>2028</v>
      </c>
      <c r="K57" s="253">
        <f t="shared" si="15"/>
        <v>2029</v>
      </c>
      <c r="L57" s="253">
        <f t="shared" si="15"/>
        <v>2030</v>
      </c>
      <c r="M57" s="253">
        <f t="shared" si="15"/>
        <v>2031</v>
      </c>
      <c r="N57" s="253">
        <f t="shared" si="15"/>
        <v>2032</v>
      </c>
      <c r="O57" s="254"/>
    </row>
    <row r="58" spans="1:15">
      <c r="A58" s="255" t="str">
        <f>A45</f>
        <v>Depreciation &amp; Amortization</v>
      </c>
      <c r="B58" s="256" t="e">
        <f>B45/B$48</f>
        <v>#DIV/0!</v>
      </c>
      <c r="C58" s="256" t="e">
        <f t="shared" ref="C58:N58" si="16">C45/C$48</f>
        <v>#DIV/0!</v>
      </c>
      <c r="D58" s="256" t="e">
        <f t="shared" si="16"/>
        <v>#DIV/0!</v>
      </c>
      <c r="E58" s="256" t="e">
        <f t="shared" si="16"/>
        <v>#DIV/0!</v>
      </c>
      <c r="F58" s="256" t="e">
        <f t="shared" si="16"/>
        <v>#DIV/0!</v>
      </c>
      <c r="G58" s="256" t="e">
        <f t="shared" si="16"/>
        <v>#DIV/0!</v>
      </c>
      <c r="H58" s="256" t="e">
        <f t="shared" si="16"/>
        <v>#DIV/0!</v>
      </c>
      <c r="I58" s="256" t="e">
        <f t="shared" si="16"/>
        <v>#DIV/0!</v>
      </c>
      <c r="J58" s="256" t="e">
        <f t="shared" si="16"/>
        <v>#DIV/0!</v>
      </c>
      <c r="K58" s="256" t="e">
        <f t="shared" si="16"/>
        <v>#DIV/0!</v>
      </c>
      <c r="L58" s="256" t="e">
        <f t="shared" si="16"/>
        <v>#DIV/0!</v>
      </c>
      <c r="M58" s="256" t="e">
        <f t="shared" si="16"/>
        <v>#DIV/0!</v>
      </c>
      <c r="N58" s="256" t="e">
        <f t="shared" si="16"/>
        <v>#DIV/0!</v>
      </c>
      <c r="O58" s="257"/>
    </row>
    <row r="59" spans="1:15">
      <c r="A59" s="258" t="str">
        <f>A46</f>
        <v>Net Interest Expense</v>
      </c>
      <c r="B59" s="259" t="e">
        <f t="shared" ref="B59:N59" si="17">B46/B$48</f>
        <v>#DIV/0!</v>
      </c>
      <c r="C59" s="259" t="e">
        <f t="shared" si="17"/>
        <v>#DIV/0!</v>
      </c>
      <c r="D59" s="259" t="e">
        <f t="shared" si="17"/>
        <v>#DIV/0!</v>
      </c>
      <c r="E59" s="259" t="e">
        <f t="shared" si="17"/>
        <v>#DIV/0!</v>
      </c>
      <c r="F59" s="259" t="e">
        <f t="shared" si="17"/>
        <v>#DIV/0!</v>
      </c>
      <c r="G59" s="259" t="e">
        <f t="shared" si="17"/>
        <v>#DIV/0!</v>
      </c>
      <c r="H59" s="259" t="e">
        <f t="shared" si="17"/>
        <v>#DIV/0!</v>
      </c>
      <c r="I59" s="259" t="e">
        <f t="shared" si="17"/>
        <v>#DIV/0!</v>
      </c>
      <c r="J59" s="259" t="e">
        <f t="shared" si="17"/>
        <v>#DIV/0!</v>
      </c>
      <c r="K59" s="259" t="e">
        <f t="shared" si="17"/>
        <v>#DIV/0!</v>
      </c>
      <c r="L59" s="259" t="e">
        <f t="shared" si="17"/>
        <v>#DIV/0!</v>
      </c>
      <c r="M59" s="259" t="e">
        <f t="shared" si="17"/>
        <v>#DIV/0!</v>
      </c>
      <c r="N59" s="259" t="e">
        <f t="shared" si="17"/>
        <v>#DIV/0!</v>
      </c>
      <c r="O59" s="257"/>
    </row>
    <row r="60" spans="1:15" ht="15" thickBot="1">
      <c r="A60" s="260" t="str">
        <f>A47</f>
        <v>Minimum Required Net Revenue (MRNR)</v>
      </c>
      <c r="B60" s="261" t="e">
        <f t="shared" ref="B60:N60" si="18">B47/B$48</f>
        <v>#DIV/0!</v>
      </c>
      <c r="C60" s="261" t="e">
        <f t="shared" si="18"/>
        <v>#DIV/0!</v>
      </c>
      <c r="D60" s="261" t="e">
        <f t="shared" si="18"/>
        <v>#DIV/0!</v>
      </c>
      <c r="E60" s="261" t="e">
        <f t="shared" si="18"/>
        <v>#DIV/0!</v>
      </c>
      <c r="F60" s="261" t="e">
        <f t="shared" si="18"/>
        <v>#DIV/0!</v>
      </c>
      <c r="G60" s="261" t="e">
        <f t="shared" si="18"/>
        <v>#DIV/0!</v>
      </c>
      <c r="H60" s="261" t="e">
        <f t="shared" si="18"/>
        <v>#DIV/0!</v>
      </c>
      <c r="I60" s="261" t="e">
        <f t="shared" si="18"/>
        <v>#DIV/0!</v>
      </c>
      <c r="J60" s="261" t="e">
        <f t="shared" si="18"/>
        <v>#DIV/0!</v>
      </c>
      <c r="K60" s="261" t="e">
        <f t="shared" si="18"/>
        <v>#DIV/0!</v>
      </c>
      <c r="L60" s="261" t="e">
        <f t="shared" si="18"/>
        <v>#DIV/0!</v>
      </c>
      <c r="M60" s="261" t="e">
        <f t="shared" si="18"/>
        <v>#DIV/0!</v>
      </c>
      <c r="N60" s="261" t="e">
        <f t="shared" si="18"/>
        <v>#DIV/0!</v>
      </c>
      <c r="O60" s="257"/>
    </row>
    <row r="61" spans="1:15" ht="15" thickTop="1">
      <c r="A61" s="262" t="str">
        <f>A48</f>
        <v>Total Capital Related Costs</v>
      </c>
      <c r="B61" s="263" t="e">
        <f>SUM(B58:B60)</f>
        <v>#DIV/0!</v>
      </c>
      <c r="C61" s="263" t="e">
        <f t="shared" ref="C61:N61" si="19">SUM(C58:C60)</f>
        <v>#DIV/0!</v>
      </c>
      <c r="D61" s="263" t="e">
        <f t="shared" si="19"/>
        <v>#DIV/0!</v>
      </c>
      <c r="E61" s="263" t="e">
        <f t="shared" si="19"/>
        <v>#DIV/0!</v>
      </c>
      <c r="F61" s="263" t="e">
        <f t="shared" si="19"/>
        <v>#DIV/0!</v>
      </c>
      <c r="G61" s="263" t="e">
        <f t="shared" si="19"/>
        <v>#DIV/0!</v>
      </c>
      <c r="H61" s="263" t="e">
        <f t="shared" si="19"/>
        <v>#DIV/0!</v>
      </c>
      <c r="I61" s="263" t="e">
        <f t="shared" si="19"/>
        <v>#DIV/0!</v>
      </c>
      <c r="J61" s="263" t="e">
        <f t="shared" si="19"/>
        <v>#DIV/0!</v>
      </c>
      <c r="K61" s="263" t="e">
        <f t="shared" si="19"/>
        <v>#DIV/0!</v>
      </c>
      <c r="L61" s="263" t="e">
        <f t="shared" si="19"/>
        <v>#DIV/0!</v>
      </c>
      <c r="M61" s="263" t="e">
        <f t="shared" si="19"/>
        <v>#DIV/0!</v>
      </c>
      <c r="N61" s="263" t="e">
        <f t="shared" si="19"/>
        <v>#DIV/0!</v>
      </c>
      <c r="O61" s="264"/>
    </row>
    <row r="62" spans="1:15">
      <c r="O62" s="93"/>
    </row>
    <row r="63" spans="1:15" ht="30.75" customHeight="1">
      <c r="A63" s="252" t="str">
        <f>"Percentages for "&amp;A50</f>
        <v>Percentages for  Revenue Requirement (Thousands)</v>
      </c>
      <c r="B63" s="253">
        <f>B57</f>
        <v>2020</v>
      </c>
      <c r="C63" s="253">
        <f t="shared" ref="C63:N63" si="20">C57</f>
        <v>2021</v>
      </c>
      <c r="D63" s="253">
        <f t="shared" si="20"/>
        <v>2022</v>
      </c>
      <c r="E63" s="253">
        <f t="shared" si="20"/>
        <v>2023</v>
      </c>
      <c r="F63" s="253">
        <f t="shared" si="20"/>
        <v>2024</v>
      </c>
      <c r="G63" s="253">
        <f t="shared" si="20"/>
        <v>2025</v>
      </c>
      <c r="H63" s="253">
        <f t="shared" si="20"/>
        <v>2026</v>
      </c>
      <c r="I63" s="253">
        <f t="shared" si="20"/>
        <v>2027</v>
      </c>
      <c r="J63" s="253">
        <f t="shared" si="20"/>
        <v>2028</v>
      </c>
      <c r="K63" s="253">
        <f t="shared" si="20"/>
        <v>2029</v>
      </c>
      <c r="L63" s="253">
        <f t="shared" si="20"/>
        <v>2030</v>
      </c>
      <c r="M63" s="253">
        <f t="shared" si="20"/>
        <v>2031</v>
      </c>
      <c r="N63" s="253">
        <f t="shared" si="20"/>
        <v>2032</v>
      </c>
      <c r="O63" s="265"/>
    </row>
    <row r="64" spans="1:15">
      <c r="A64" s="255" t="str">
        <f>A51</f>
        <v>IPR Costs</v>
      </c>
      <c r="B64" s="256" t="e">
        <f>B51/B$54</f>
        <v>#DIV/0!</v>
      </c>
      <c r="C64" s="256" t="e">
        <f t="shared" ref="C64:N64" si="21">C51/C$54</f>
        <v>#DIV/0!</v>
      </c>
      <c r="D64" s="256" t="e">
        <f t="shared" si="21"/>
        <v>#DIV/0!</v>
      </c>
      <c r="E64" s="256" t="e">
        <f t="shared" si="21"/>
        <v>#DIV/0!</v>
      </c>
      <c r="F64" s="256" t="e">
        <f t="shared" si="21"/>
        <v>#DIV/0!</v>
      </c>
      <c r="G64" s="256" t="e">
        <f t="shared" si="21"/>
        <v>#DIV/0!</v>
      </c>
      <c r="H64" s="256" t="e">
        <f t="shared" si="21"/>
        <v>#DIV/0!</v>
      </c>
      <c r="I64" s="256" t="e">
        <f t="shared" si="21"/>
        <v>#DIV/0!</v>
      </c>
      <c r="J64" s="256" t="e">
        <f t="shared" si="21"/>
        <v>#DIV/0!</v>
      </c>
      <c r="K64" s="256" t="e">
        <f t="shared" si="21"/>
        <v>#DIV/0!</v>
      </c>
      <c r="L64" s="256" t="e">
        <f t="shared" si="21"/>
        <v>#DIV/0!</v>
      </c>
      <c r="M64" s="256" t="e">
        <f t="shared" si="21"/>
        <v>#DIV/0!</v>
      </c>
      <c r="N64" s="256" t="e">
        <f t="shared" si="21"/>
        <v>#DIV/0!</v>
      </c>
      <c r="O64" s="266"/>
    </row>
    <row r="65" spans="1:15">
      <c r="A65" s="258" t="str">
        <f>A52</f>
        <v>Non-IPR Costs (BBL Ancillary Services)</v>
      </c>
      <c r="B65" s="259" t="e">
        <f>B52/B$54</f>
        <v>#DIV/0!</v>
      </c>
      <c r="C65" s="259" t="e">
        <f t="shared" ref="C65:N66" si="22">C52/C$54</f>
        <v>#DIV/0!</v>
      </c>
      <c r="D65" s="259" t="e">
        <f t="shared" si="22"/>
        <v>#DIV/0!</v>
      </c>
      <c r="E65" s="259" t="e">
        <f t="shared" si="22"/>
        <v>#DIV/0!</v>
      </c>
      <c r="F65" s="259" t="e">
        <f t="shared" si="22"/>
        <v>#DIV/0!</v>
      </c>
      <c r="G65" s="259" t="e">
        <f t="shared" si="22"/>
        <v>#DIV/0!</v>
      </c>
      <c r="H65" s="259" t="e">
        <f t="shared" si="22"/>
        <v>#DIV/0!</v>
      </c>
      <c r="I65" s="259" t="e">
        <f t="shared" si="22"/>
        <v>#DIV/0!</v>
      </c>
      <c r="J65" s="259" t="e">
        <f t="shared" si="22"/>
        <v>#DIV/0!</v>
      </c>
      <c r="K65" s="259" t="e">
        <f t="shared" si="22"/>
        <v>#DIV/0!</v>
      </c>
      <c r="L65" s="259" t="e">
        <f t="shared" si="22"/>
        <v>#DIV/0!</v>
      </c>
      <c r="M65" s="259" t="e">
        <f t="shared" si="22"/>
        <v>#DIV/0!</v>
      </c>
      <c r="N65" s="259" t="e">
        <f t="shared" si="22"/>
        <v>#DIV/0!</v>
      </c>
      <c r="O65" s="266"/>
    </row>
    <row r="66" spans="1:15" ht="15" thickBot="1">
      <c r="A66" s="260" t="str">
        <f>A53</f>
        <v>Capital Related Costs</v>
      </c>
      <c r="B66" s="261" t="e">
        <f>B53/B$54</f>
        <v>#DIV/0!</v>
      </c>
      <c r="C66" s="261" t="e">
        <f t="shared" si="22"/>
        <v>#DIV/0!</v>
      </c>
      <c r="D66" s="261" t="e">
        <f t="shared" si="22"/>
        <v>#DIV/0!</v>
      </c>
      <c r="E66" s="261" t="e">
        <f t="shared" si="22"/>
        <v>#DIV/0!</v>
      </c>
      <c r="F66" s="261" t="e">
        <f t="shared" si="22"/>
        <v>#DIV/0!</v>
      </c>
      <c r="G66" s="261" t="e">
        <f t="shared" si="22"/>
        <v>#DIV/0!</v>
      </c>
      <c r="H66" s="261" t="e">
        <f t="shared" si="22"/>
        <v>#DIV/0!</v>
      </c>
      <c r="I66" s="261" t="e">
        <f t="shared" si="22"/>
        <v>#DIV/0!</v>
      </c>
      <c r="J66" s="261" t="e">
        <f t="shared" si="22"/>
        <v>#DIV/0!</v>
      </c>
      <c r="K66" s="261" t="e">
        <f t="shared" si="22"/>
        <v>#DIV/0!</v>
      </c>
      <c r="L66" s="261" t="e">
        <f t="shared" si="22"/>
        <v>#DIV/0!</v>
      </c>
      <c r="M66" s="261" t="e">
        <f t="shared" si="22"/>
        <v>#DIV/0!</v>
      </c>
      <c r="N66" s="261" t="e">
        <f t="shared" si="22"/>
        <v>#DIV/0!</v>
      </c>
      <c r="O66" s="266"/>
    </row>
    <row r="67" spans="1:15" ht="15" thickTop="1">
      <c r="A67" s="262" t="str">
        <f>A54</f>
        <v>Total Revenue Requirement</v>
      </c>
      <c r="B67" s="263" t="e">
        <f>SUM(B64:B66)</f>
        <v>#DIV/0!</v>
      </c>
      <c r="C67" s="263" t="e">
        <f t="shared" ref="C67:N67" si="23">SUM(C64:C66)</f>
        <v>#DIV/0!</v>
      </c>
      <c r="D67" s="263" t="e">
        <f t="shared" si="23"/>
        <v>#DIV/0!</v>
      </c>
      <c r="E67" s="263" t="e">
        <f t="shared" si="23"/>
        <v>#DIV/0!</v>
      </c>
      <c r="F67" s="263" t="e">
        <f t="shared" si="23"/>
        <v>#DIV/0!</v>
      </c>
      <c r="G67" s="263" t="e">
        <f t="shared" si="23"/>
        <v>#DIV/0!</v>
      </c>
      <c r="H67" s="263" t="e">
        <f t="shared" si="23"/>
        <v>#DIV/0!</v>
      </c>
      <c r="I67" s="263" t="e">
        <f t="shared" si="23"/>
        <v>#DIV/0!</v>
      </c>
      <c r="J67" s="263" t="e">
        <f t="shared" si="23"/>
        <v>#DIV/0!</v>
      </c>
      <c r="K67" s="263" t="e">
        <f t="shared" si="23"/>
        <v>#DIV/0!</v>
      </c>
      <c r="L67" s="263" t="e">
        <f t="shared" si="23"/>
        <v>#DIV/0!</v>
      </c>
      <c r="M67" s="263" t="e">
        <f t="shared" si="23"/>
        <v>#DIV/0!</v>
      </c>
      <c r="N67" s="263" t="e">
        <f t="shared" si="23"/>
        <v>#DIV/0!</v>
      </c>
      <c r="O67" s="266"/>
    </row>
  </sheetData>
  <customSheetViews>
    <customSheetView guid="{2226E858-00AE-4A92-8CF6-5B54D2FA62D4}" showPageBreaks="1" showGridLines="0">
      <selection activeCell="F12" sqref="F12"/>
      <pageMargins left="0.7" right="0.7" top="0.75" bottom="0.75" header="0.3" footer="0.3"/>
      <pageSetup orientation="portrait" r:id="rId1"/>
    </customSheetView>
  </customSheetViews>
  <mergeCells count="6">
    <mergeCell ref="A1:O1"/>
    <mergeCell ref="B2:C2"/>
    <mergeCell ref="F2:O5"/>
    <mergeCell ref="B3:C3"/>
    <mergeCell ref="B4:C4"/>
    <mergeCell ref="B5:C5"/>
  </mergeCell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2E17D87B0A0545AE9B4C7D0EF2487C" ma:contentTypeVersion="0" ma:contentTypeDescription="Create a new document." ma:contentTypeScope="" ma:versionID="ca2a47ddfabaaf22a27f940a921c65c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075048-D484-4BE9-A537-2E91A65DC280}"/>
</file>

<file path=customXml/itemProps2.xml><?xml version="1.0" encoding="utf-8"?>
<ds:datastoreItem xmlns:ds="http://schemas.openxmlformats.org/officeDocument/2006/customXml" ds:itemID="{5383AA77-FE69-4E5C-B3BC-32C70608E565}"/>
</file>

<file path=customXml/itemProps3.xml><?xml version="1.0" encoding="utf-8"?>
<ds:datastoreItem xmlns:ds="http://schemas.openxmlformats.org/officeDocument/2006/customXml" ds:itemID="{EB99E38C-5BC5-4F0D-80E9-0C673A5BC4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Long-Term Debt Mng RR</vt:lpstr>
      <vt:lpstr>Crosswalk</vt:lpstr>
      <vt:lpstr>Rates Crosswalk</vt:lpstr>
      <vt:lpstr>Revenue Requirement</vt:lpstr>
      <vt:lpstr>AFUDC</vt:lpstr>
      <vt:lpstr>Leverage</vt:lpstr>
      <vt:lpstr>Capital Input File</vt:lpstr>
      <vt:lpstr>Repayment Inputs</vt:lpstr>
      <vt:lpstr>Interest Income</vt:lpstr>
      <vt:lpstr>18 Seg Dev</vt:lpstr>
      <vt:lpstr>20 Seg Dev</vt:lpstr>
      <vt:lpstr>21 Seg Dev</vt:lpstr>
      <vt:lpstr>Expense Input File</vt:lpstr>
      <vt:lpstr>Segmented Rev Req</vt:lpstr>
      <vt:lpstr>Ancillary Services</vt:lpstr>
      <vt:lpstr>22 Seg Dev</vt:lpstr>
      <vt:lpstr>23 Seg Dev</vt:lpstr>
      <vt:lpstr>33 Seg Dev</vt:lpstr>
      <vt:lpstr>34 Seg Dev</vt:lpstr>
      <vt:lpstr>Graphs</vt:lpstr>
      <vt:lpstr>Crosswalk!Print_Area</vt:lpstr>
      <vt:lpstr>'Expense Input File'!Print_Area</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Transmission BP 22 FP Revenue Requirement</dc:title>
  <dc:creator>BPA User</dc:creator>
  <cp:lastModifiedBy>Edwards,Michael D (BPA) - FTR-2</cp:lastModifiedBy>
  <cp:lastPrinted>2020-04-29T17:57:01Z</cp:lastPrinted>
  <dcterms:created xsi:type="dcterms:W3CDTF">2014-02-20T15:37:27Z</dcterms:created>
  <dcterms:modified xsi:type="dcterms:W3CDTF">2021-07-15T23:38:15Z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0x0101006A2E17D87B0A0545AE9B4C7D0EF2487C</vt:lpwstr>
  </property>
</Properties>
</file>