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0785" yWindow="-15" windowWidth="10830" windowHeight="9045" tabRatio="876" firstSheet="13" activeTab="15"/>
  </bookViews>
  <sheets>
    <sheet name="Long-Term Debt Mng RR" sheetId="2" state="hidden" r:id="rId1"/>
    <sheet name="Crosswalk" sheetId="3" state="hidden" r:id="rId2"/>
    <sheet name="Revenue Requirement" sheetId="6" r:id="rId3"/>
    <sheet name="Segmented Rev Req." sheetId="7" r:id="rId4"/>
    <sheet name="Expense Input File" sheetId="8" r:id="rId5"/>
    <sheet name="Capital Input File" sheetId="9" r:id="rId6"/>
    <sheet name="Repayment Inputs" sheetId="10" r:id="rId7"/>
    <sheet name="AFUDC" sheetId="11" r:id="rId8"/>
    <sheet name="Interest Income" sheetId="12" r:id="rId9"/>
    <sheet name="Ancillary Services" sheetId="13" r:id="rId10"/>
    <sheet name="18 Seg Dev" sheetId="16" r:id="rId11"/>
    <sheet name="19 Seg Dev" sheetId="17" r:id="rId12"/>
    <sheet name="Current Rev Req" sheetId="29" r:id="rId13"/>
    <sheet name="Current Interest Income" sheetId="30" r:id="rId14"/>
    <sheet name="Rev. Rev. Req." sheetId="31" r:id="rId15"/>
    <sheet name="Revised Interest Income" sheetId="32" r:id="rId16"/>
  </sheets>
  <definedNames>
    <definedName name="_xlnm.Print_Area" localSheetId="1">Crosswalk!$A$1:$V$29,Crosswalk!$A$32:$T$66</definedName>
    <definedName name="_xlnm.Print_Area" localSheetId="4">'Expense Input File'!$A$1:$G$66</definedName>
    <definedName name="Z_2226E858_00AE_4A92_8CF6_5B54D2FA62D4_.wvu.PrintArea" localSheetId="1" hidden="1">Crosswalk!$A$1:$V$29,Crosswalk!$A$32:$T$66</definedName>
    <definedName name="Z_2226E858_00AE_4A92_8CF6_5B54D2FA62D4_.wvu.PrintArea" localSheetId="4" hidden="1">'Expense Input File'!$A$1:$G$66</definedName>
    <definedName name="Z_2226E858_00AE_4A92_8CF6_5B54D2FA62D4_.wvu.Rows" localSheetId="1" hidden="1">Crosswalk!$22:$24</definedName>
  </definedNames>
  <calcPr calcId="145621"/>
  <customWorkbookViews>
    <customWorkbookView name="BPA User - Personal View" guid="{2226E858-00AE-4A92-8CF6-5B54D2FA62D4}" mergeInterval="0" personalView="1" xWindow="9" yWindow="348" windowWidth="1422" windowHeight="278" tabRatio="644" activeSheetId="8"/>
  </customWorkbookViews>
</workbook>
</file>

<file path=xl/calcChain.xml><?xml version="1.0" encoding="utf-8"?>
<calcChain xmlns="http://schemas.openxmlformats.org/spreadsheetml/2006/main">
  <c r="C22" i="32" l="1"/>
  <c r="C23" i="32" s="1"/>
  <c r="G19" i="32"/>
  <c r="G22" i="32" s="1"/>
  <c r="G23" i="32" s="1"/>
  <c r="E20" i="32"/>
  <c r="F19" i="32" s="1"/>
  <c r="F22" i="32" s="1"/>
  <c r="F23" i="32" s="1"/>
  <c r="E22" i="32"/>
  <c r="E23" i="32" s="1"/>
  <c r="F29" i="32"/>
  <c r="E29" i="32"/>
  <c r="C13" i="32"/>
  <c r="E11" i="32"/>
  <c r="F10" i="32" s="1"/>
  <c r="E28" i="32"/>
  <c r="E30" i="32" s="1"/>
  <c r="G6" i="32"/>
  <c r="F6" i="32"/>
  <c r="E70" i="31"/>
  <c r="F70" i="31"/>
  <c r="E62" i="31"/>
  <c r="F62" i="31"/>
  <c r="A48" i="31"/>
  <c r="A49" i="31" s="1"/>
  <c r="A50" i="31" s="1"/>
  <c r="A51" i="31" s="1"/>
  <c r="A52" i="31" s="1"/>
  <c r="A53" i="31" s="1"/>
  <c r="A54" i="31" s="1"/>
  <c r="A55" i="31" s="1"/>
  <c r="F31" i="31"/>
  <c r="E31" i="31"/>
  <c r="E18" i="31"/>
  <c r="E29" i="30"/>
  <c r="C22" i="30"/>
  <c r="C23" i="30" s="1"/>
  <c r="E20" i="30"/>
  <c r="F19" i="30" s="1"/>
  <c r="F22" i="30" s="1"/>
  <c r="F23" i="30" s="1"/>
  <c r="G19" i="30"/>
  <c r="G22" i="30" s="1"/>
  <c r="G23" i="30" s="1"/>
  <c r="F29" i="30"/>
  <c r="C13" i="30"/>
  <c r="E11" i="30"/>
  <c r="F10" i="30" s="1"/>
  <c r="F11" i="30" s="1"/>
  <c r="G10" i="30" s="1"/>
  <c r="E28" i="30"/>
  <c r="E30" i="30" s="1"/>
  <c r="G6" i="30"/>
  <c r="F6" i="30"/>
  <c r="F68" i="29"/>
  <c r="E68" i="29"/>
  <c r="F60" i="29"/>
  <c r="E60" i="29"/>
  <c r="A49" i="29"/>
  <c r="A50" i="29" s="1"/>
  <c r="A51" i="29" s="1"/>
  <c r="A52" i="29" s="1"/>
  <c r="A53" i="29" s="1"/>
  <c r="A54" i="29" s="1"/>
  <c r="A55" i="29" s="1"/>
  <c r="A48" i="29"/>
  <c r="F31" i="29"/>
  <c r="F33" i="29" s="1"/>
  <c r="F35" i="29" s="1"/>
  <c r="F45" i="29" s="1"/>
  <c r="F55" i="29" s="1"/>
  <c r="E31" i="29"/>
  <c r="F18" i="29"/>
  <c r="E18" i="29"/>
  <c r="E22" i="30" l="1"/>
  <c r="E23" i="30" s="1"/>
  <c r="F28" i="32"/>
  <c r="F30" i="32" s="1"/>
  <c r="F11" i="32"/>
  <c r="G10" i="32" s="1"/>
  <c r="E13" i="32"/>
  <c r="E15" i="32" s="1"/>
  <c r="E26" i="32" s="1"/>
  <c r="E33" i="31"/>
  <c r="E35" i="31" s="1"/>
  <c r="E45" i="31" s="1"/>
  <c r="E56" i="31" s="1"/>
  <c r="E72" i="31" s="1"/>
  <c r="F18" i="31"/>
  <c r="F33" i="31" s="1"/>
  <c r="F35" i="31" s="1"/>
  <c r="F45" i="31" s="1"/>
  <c r="F56" i="31" s="1"/>
  <c r="F72" i="31" s="1"/>
  <c r="F13" i="30"/>
  <c r="F15" i="30" s="1"/>
  <c r="F26" i="30" s="1"/>
  <c r="F28" i="30"/>
  <c r="F30" i="30" s="1"/>
  <c r="G11" i="30"/>
  <c r="G13" i="30" s="1"/>
  <c r="G15" i="30" s="1"/>
  <c r="G26" i="30" s="1"/>
  <c r="E13" i="30"/>
  <c r="E15" i="30" s="1"/>
  <c r="E33" i="29"/>
  <c r="E35" i="29" s="1"/>
  <c r="E45" i="29" s="1"/>
  <c r="E55" i="29" s="1"/>
  <c r="E70" i="29" s="1"/>
  <c r="F70" i="29"/>
  <c r="E26" i="30" l="1"/>
  <c r="F13" i="32"/>
  <c r="F15" i="32" s="1"/>
  <c r="F26" i="32" s="1"/>
  <c r="G11" i="32"/>
  <c r="G13" i="32" s="1"/>
  <c r="G15" i="32" s="1"/>
  <c r="G26" i="32" s="1"/>
  <c r="K43" i="17" l="1"/>
  <c r="J43" i="17"/>
  <c r="I43" i="17"/>
  <c r="H43" i="17"/>
  <c r="G43" i="17"/>
  <c r="F43" i="17"/>
  <c r="E43" i="17"/>
  <c r="K60" i="16"/>
  <c r="K43" i="16" l="1"/>
  <c r="J43" i="16"/>
  <c r="I43" i="16"/>
  <c r="H43" i="16"/>
  <c r="G43" i="16"/>
  <c r="F43" i="16"/>
  <c r="E43" i="16"/>
  <c r="C35" i="9" l="1"/>
  <c r="B12" i="9"/>
  <c r="B28" i="9"/>
  <c r="B32" i="9" s="1"/>
  <c r="B35" i="9"/>
  <c r="B37" i="9"/>
  <c r="B41" i="9" s="1"/>
  <c r="B40" i="9"/>
  <c r="B45" i="9"/>
  <c r="B47" i="9"/>
  <c r="B48" i="9"/>
  <c r="B49" i="9"/>
  <c r="D66" i="8"/>
  <c r="B55" i="9" l="1"/>
  <c r="B50" i="9"/>
  <c r="B51" i="9" s="1"/>
  <c r="B52" i="9" s="1"/>
  <c r="D46" i="10"/>
  <c r="C46" i="10" l="1"/>
  <c r="F61" i="6" s="1"/>
  <c r="C2" i="10" l="1"/>
  <c r="C26" i="10" l="1"/>
  <c r="F49" i="6"/>
  <c r="F38" i="6"/>
  <c r="F32" i="6"/>
  <c r="F15" i="12" l="1"/>
  <c r="F16" i="12"/>
  <c r="D16" i="12"/>
  <c r="D18" i="12" s="1"/>
  <c r="D19" i="12" s="1"/>
  <c r="D7" i="12"/>
  <c r="D9" i="12" s="1"/>
  <c r="D11" i="12" s="1"/>
  <c r="E2" i="12"/>
  <c r="E12" i="12" s="1"/>
  <c r="E15" i="12" l="1"/>
  <c r="E18" i="12" s="1"/>
  <c r="E6" i="12"/>
  <c r="D28" i="9"/>
  <c r="D32" i="9" s="1"/>
  <c r="C28" i="9"/>
  <c r="C32" i="9" s="1"/>
  <c r="D25" i="11" l="1"/>
  <c r="C28" i="11" l="1"/>
  <c r="C20" i="11" l="1"/>
  <c r="C29" i="11" s="1"/>
  <c r="C32" i="11"/>
  <c r="D14" i="11"/>
  <c r="E14" i="11" s="1"/>
  <c r="D10" i="11"/>
  <c r="E4" i="11"/>
  <c r="F4" i="11" s="1"/>
  <c r="F60" i="6" l="1"/>
  <c r="F22" i="6"/>
  <c r="F62" i="6"/>
  <c r="F63" i="6"/>
  <c r="F18" i="6"/>
  <c r="F24" i="6" l="1"/>
  <c r="F20" i="6"/>
  <c r="E66" i="8" l="1"/>
  <c r="D51" i="8"/>
  <c r="E51" i="8"/>
  <c r="D47" i="8"/>
  <c r="E47" i="8"/>
  <c r="E54" i="8" l="1"/>
  <c r="D54" i="8"/>
  <c r="C45" i="10"/>
  <c r="D45" i="10"/>
  <c r="E64" i="8" l="1"/>
  <c r="D64" i="8"/>
  <c r="G13" i="16" l="1"/>
  <c r="F13" i="16"/>
  <c r="G7" i="16"/>
  <c r="F7" i="16"/>
  <c r="F18" i="12" l="1"/>
  <c r="F19" i="12" s="1"/>
  <c r="E19" i="12" l="1"/>
  <c r="G32" i="6" l="1"/>
  <c r="C37" i="9" l="1"/>
  <c r="D23" i="9" l="1"/>
  <c r="D13" i="9"/>
  <c r="D37" i="9"/>
  <c r="E8" i="11" l="1"/>
  <c r="F8" i="11"/>
  <c r="D4" i="9"/>
  <c r="D53" i="9" l="1"/>
  <c r="C14" i="10" l="1"/>
  <c r="D28" i="17" l="1"/>
  <c r="D27" i="17"/>
  <c r="D29" i="17" l="1"/>
  <c r="D8" i="11" l="1"/>
  <c r="D23" i="11" l="1"/>
  <c r="AG20" i="2"/>
  <c r="AA20" i="2"/>
  <c r="U20" i="2"/>
  <c r="O20" i="2"/>
  <c r="I20" i="2"/>
  <c r="AH20" i="2"/>
  <c r="AB20" i="2"/>
  <c r="V20" i="2"/>
  <c r="P20" i="2"/>
  <c r="AH22" i="2"/>
  <c r="AB22" i="2"/>
  <c r="V22" i="2"/>
  <c r="P22" i="2"/>
  <c r="AH21" i="2"/>
  <c r="AB21" i="2"/>
  <c r="V21" i="2"/>
  <c r="D26" i="10"/>
  <c r="G20" i="2"/>
  <c r="AC40" i="3"/>
  <c r="F23" i="6"/>
  <c r="H20" i="2"/>
  <c r="F20" i="2"/>
  <c r="D14" i="10"/>
  <c r="G21" i="2" s="1"/>
  <c r="E19" i="2"/>
  <c r="D4" i="10"/>
  <c r="F47" i="6"/>
  <c r="C40" i="9"/>
  <c r="D45" i="9"/>
  <c r="C45" i="9"/>
  <c r="M60" i="3"/>
  <c r="M57" i="3"/>
  <c r="M55" i="3"/>
  <c r="M53" i="3"/>
  <c r="AD34" i="3"/>
  <c r="AD36" i="3"/>
  <c r="AD35" i="3"/>
  <c r="AD37" i="3"/>
  <c r="AC37" i="3"/>
  <c r="AC36" i="3"/>
  <c r="AC35" i="3"/>
  <c r="AC34" i="3"/>
  <c r="M49" i="3"/>
  <c r="M47" i="3"/>
  <c r="L47" i="3"/>
  <c r="J47" i="3"/>
  <c r="V41" i="3"/>
  <c r="U41" i="3"/>
  <c r="S41" i="3"/>
  <c r="R41" i="3"/>
  <c r="P41" i="3"/>
  <c r="O41" i="3"/>
  <c r="F15" i="3" s="1"/>
  <c r="D22" i="3"/>
  <c r="D24" i="3"/>
  <c r="M45" i="3"/>
  <c r="M43" i="3"/>
  <c r="M42" i="3"/>
  <c r="M41" i="3"/>
  <c r="M40" i="3"/>
  <c r="M39" i="3"/>
  <c r="M38" i="3"/>
  <c r="M37" i="3"/>
  <c r="M36" i="3"/>
  <c r="M35" i="3"/>
  <c r="C8" i="3"/>
  <c r="C11" i="3"/>
  <c r="M51" i="3"/>
  <c r="G51" i="3"/>
  <c r="F51" i="3"/>
  <c r="I49" i="3"/>
  <c r="I51" i="3"/>
  <c r="G47" i="3"/>
  <c r="I45" i="3"/>
  <c r="G43" i="3"/>
  <c r="F43" i="3"/>
  <c r="I43" i="3"/>
  <c r="I42" i="3"/>
  <c r="I41" i="3"/>
  <c r="C15" i="3"/>
  <c r="I40" i="3"/>
  <c r="I39" i="3"/>
  <c r="I38" i="3"/>
  <c r="C14" i="3"/>
  <c r="I37" i="3"/>
  <c r="C9" i="3"/>
  <c r="I36" i="3"/>
  <c r="C10" i="3"/>
  <c r="I35" i="3"/>
  <c r="G24" i="3"/>
  <c r="J24" i="3"/>
  <c r="J22" i="3"/>
  <c r="C12" i="3"/>
  <c r="C18" i="3"/>
  <c r="F47" i="3"/>
  <c r="I47" i="3"/>
  <c r="C16" i="3"/>
  <c r="C20" i="3"/>
  <c r="D8" i="3"/>
  <c r="D10" i="3"/>
  <c r="D18" i="3"/>
  <c r="D14" i="3"/>
  <c r="D15" i="3"/>
  <c r="D9" i="3"/>
  <c r="D11" i="3"/>
  <c r="D16" i="3"/>
  <c r="D12" i="3"/>
  <c r="A11" i="7"/>
  <c r="F21" i="2"/>
  <c r="C33" i="10"/>
  <c r="F22" i="2" s="1"/>
  <c r="D20" i="2"/>
  <c r="E20" i="2"/>
  <c r="K20" i="2"/>
  <c r="M21" i="2"/>
  <c r="D21" i="2"/>
  <c r="A41" i="9"/>
  <c r="O22" i="2"/>
  <c r="Q22" i="2"/>
  <c r="R22" i="2"/>
  <c r="S22" i="2"/>
  <c r="T22" i="2"/>
  <c r="U22" i="2"/>
  <c r="W22" i="2"/>
  <c r="X22" i="2"/>
  <c r="Y22" i="2"/>
  <c r="Z22" i="2"/>
  <c r="AA22" i="2"/>
  <c r="AC22" i="2"/>
  <c r="AD22" i="2"/>
  <c r="AE22" i="2"/>
  <c r="AF22" i="2"/>
  <c r="AG22" i="2"/>
  <c r="N22" i="2"/>
  <c r="AF20" i="2"/>
  <c r="AE20" i="2"/>
  <c r="AD20" i="2"/>
  <c r="AC20" i="2"/>
  <c r="Z20" i="2"/>
  <c r="Y20" i="2"/>
  <c r="X20" i="2"/>
  <c r="W20" i="2"/>
  <c r="T20" i="2"/>
  <c r="S20" i="2"/>
  <c r="R20" i="2"/>
  <c r="Q20" i="2"/>
  <c r="N20" i="2"/>
  <c r="N21" i="2"/>
  <c r="O21" i="2"/>
  <c r="Q21" i="2"/>
  <c r="R21" i="2"/>
  <c r="S21" i="2"/>
  <c r="T21" i="2"/>
  <c r="U21" i="2"/>
  <c r="W21" i="2"/>
  <c r="X21" i="2"/>
  <c r="Y21" i="2"/>
  <c r="Z21" i="2"/>
  <c r="AA21" i="2"/>
  <c r="AC21" i="2"/>
  <c r="AD21" i="2"/>
  <c r="AE21" i="2"/>
  <c r="AF21" i="2"/>
  <c r="AG21" i="2"/>
  <c r="D17" i="2"/>
  <c r="E17" i="2"/>
  <c r="F17" i="2"/>
  <c r="G17" i="2"/>
  <c r="H17" i="2"/>
  <c r="I17" i="2"/>
  <c r="J17" i="2"/>
  <c r="K17" i="2"/>
  <c r="L17" i="2"/>
  <c r="M17" i="2"/>
  <c r="N17" i="2"/>
  <c r="O17" i="2"/>
  <c r="P17" i="2"/>
  <c r="Q17" i="2"/>
  <c r="R17" i="2"/>
  <c r="S17" i="2"/>
  <c r="T17" i="2"/>
  <c r="U17" i="2"/>
  <c r="V17" i="2"/>
  <c r="W17" i="2"/>
  <c r="X17" i="2"/>
  <c r="Y17" i="2"/>
  <c r="Z17" i="2"/>
  <c r="AA17" i="2"/>
  <c r="AB17" i="2"/>
  <c r="AC17" i="2"/>
  <c r="AD17" i="2"/>
  <c r="AE17" i="2"/>
  <c r="AF17" i="2"/>
  <c r="AG17" i="2"/>
  <c r="AH17" i="2"/>
  <c r="F14" i="11"/>
  <c r="F2" i="12"/>
  <c r="E21" i="2"/>
  <c r="L21" i="2"/>
  <c r="E22" i="2"/>
  <c r="K22" i="2"/>
  <c r="L22" i="2"/>
  <c r="A40" i="9"/>
  <c r="D40" i="9"/>
  <c r="D35" i="9"/>
  <c r="G3" i="6"/>
  <c r="D19" i="2"/>
  <c r="D33" i="10"/>
  <c r="G22" i="2" s="1"/>
  <c r="K21" i="2"/>
  <c r="D22" i="2"/>
  <c r="L20" i="2"/>
  <c r="M20" i="2"/>
  <c r="M22" i="2"/>
  <c r="F46" i="6"/>
  <c r="F12" i="12" l="1"/>
  <c r="G49" i="6"/>
  <c r="G38" i="6"/>
  <c r="G62" i="6"/>
  <c r="G63" i="6"/>
  <c r="G60" i="6"/>
  <c r="G61" i="6"/>
  <c r="F6" i="11"/>
  <c r="E6" i="11"/>
  <c r="D6" i="11"/>
  <c r="C55" i="9"/>
  <c r="E23" i="11" s="1"/>
  <c r="D2" i="10"/>
  <c r="G23" i="6"/>
  <c r="G20" i="6"/>
  <c r="G22" i="6"/>
  <c r="G18" i="6"/>
  <c r="G24" i="6"/>
  <c r="G7" i="17"/>
  <c r="G13" i="17"/>
  <c r="F7" i="17"/>
  <c r="F13" i="17"/>
  <c r="G46" i="6"/>
  <c r="D30" i="9"/>
  <c r="I22" i="2"/>
  <c r="H21" i="2"/>
  <c r="I21" i="2"/>
  <c r="H22" i="2"/>
  <c r="R15" i="3"/>
  <c r="G19" i="2"/>
  <c r="C41" i="9"/>
  <c r="D26" i="2"/>
  <c r="L15" i="3"/>
  <c r="I15" i="3"/>
  <c r="O15" i="3"/>
  <c r="AC19" i="2"/>
  <c r="AF19" i="2"/>
  <c r="X19" i="2"/>
  <c r="V19" i="2"/>
  <c r="W19" i="2"/>
  <c r="AD19" i="2"/>
  <c r="AG19" i="2"/>
  <c r="AH19" i="2"/>
  <c r="AE19" i="2"/>
  <c r="AA19" i="2"/>
  <c r="Z19" i="2"/>
  <c r="U19" i="2"/>
  <c r="AB19" i="2"/>
  <c r="Y19" i="2"/>
  <c r="U15" i="3"/>
  <c r="AE40" i="3"/>
  <c r="C47" i="9"/>
  <c r="D49" i="9"/>
  <c r="AF40" i="3"/>
  <c r="D48" i="9"/>
  <c r="AG40" i="3"/>
  <c r="C12" i="9"/>
  <c r="D47" i="9"/>
  <c r="C49" i="9"/>
  <c r="C48" i="9"/>
  <c r="D12" i="9"/>
  <c r="F19" i="2"/>
  <c r="K26" i="2"/>
  <c r="R19" i="2"/>
  <c r="M26" i="2"/>
  <c r="E26" i="2"/>
  <c r="G26" i="2"/>
  <c r="P19" i="2"/>
  <c r="L26" i="2"/>
  <c r="Q19" i="2"/>
  <c r="J19" i="2"/>
  <c r="F26" i="2"/>
  <c r="J22" i="2"/>
  <c r="P21" i="2"/>
  <c r="J21" i="2"/>
  <c r="J20" i="2"/>
  <c r="D26" i="11" l="1"/>
  <c r="D27" i="11" s="1"/>
  <c r="D28" i="11" s="1"/>
  <c r="D55" i="9"/>
  <c r="F23" i="11" s="1"/>
  <c r="I26" i="2"/>
  <c r="H26" i="2"/>
  <c r="H19" i="2"/>
  <c r="T19" i="2"/>
  <c r="G9" i="16"/>
  <c r="G14" i="16" s="1"/>
  <c r="G9" i="17"/>
  <c r="G14" i="17" s="1"/>
  <c r="D41" i="9"/>
  <c r="C50" i="9"/>
  <c r="C51" i="9" s="1"/>
  <c r="C52" i="9" s="1"/>
  <c r="D50" i="9"/>
  <c r="D51" i="9" s="1"/>
  <c r="D52" i="9" s="1"/>
  <c r="G47" i="6"/>
  <c r="L19" i="2"/>
  <c r="O19" i="2"/>
  <c r="M19" i="2"/>
  <c r="K19" i="2"/>
  <c r="I19" i="2"/>
  <c r="J26" i="2"/>
  <c r="S19" i="2"/>
  <c r="N19" i="2"/>
  <c r="D27" i="16"/>
  <c r="D28" i="16"/>
  <c r="D12" i="8" l="1"/>
  <c r="D45" i="8"/>
  <c r="D11" i="11"/>
  <c r="D12" i="11" s="1"/>
  <c r="D16" i="11" s="1"/>
  <c r="AD40" i="3"/>
  <c r="E2" i="8"/>
  <c r="D7" i="16"/>
  <c r="D7" i="17"/>
  <c r="G16" i="16"/>
  <c r="G16" i="17"/>
  <c r="AH40" i="3"/>
  <c r="AI40" i="3"/>
  <c r="D29" i="16"/>
  <c r="E10" i="11" l="1"/>
  <c r="E11" i="11" s="1"/>
  <c r="E12" i="11" s="1"/>
  <c r="E16" i="11" s="1"/>
  <c r="E12" i="8"/>
  <c r="E45" i="8"/>
  <c r="K38" i="16"/>
  <c r="D41" i="16"/>
  <c r="D42" i="16"/>
  <c r="K31" i="16"/>
  <c r="F31" i="16"/>
  <c r="E6" i="13"/>
  <c r="F10" i="11" l="1"/>
  <c r="F11" i="11" s="1"/>
  <c r="D21" i="13"/>
  <c r="D10" i="13"/>
  <c r="E17" i="13"/>
  <c r="F31" i="17"/>
  <c r="D31" i="16"/>
  <c r="K31" i="17"/>
  <c r="D31" i="17" s="1"/>
  <c r="D52" i="17"/>
  <c r="D42" i="17"/>
  <c r="D41" i="17"/>
  <c r="D60" i="8"/>
  <c r="E25" i="11"/>
  <c r="E26" i="11" s="1"/>
  <c r="F25" i="11" s="1"/>
  <c r="F26" i="11" s="1"/>
  <c r="AJ40" i="3"/>
  <c r="F12" i="11" l="1"/>
  <c r="F16" i="11" s="1"/>
  <c r="D61" i="8"/>
  <c r="D63" i="8"/>
  <c r="D65" i="8" s="1"/>
  <c r="D7" i="8" s="1"/>
  <c r="E60" i="8"/>
  <c r="E63" i="8" s="1"/>
  <c r="E65" i="8" s="1"/>
  <c r="E7" i="8" s="1"/>
  <c r="E27" i="11"/>
  <c r="E28" i="11" s="1"/>
  <c r="F27" i="11"/>
  <c r="F28" i="11" s="1"/>
  <c r="F8" i="17" s="1"/>
  <c r="F45" i="6" l="1"/>
  <c r="F8" i="16"/>
  <c r="F9" i="16" s="1"/>
  <c r="F14" i="16" s="1"/>
  <c r="F16" i="16" s="1"/>
  <c r="E61" i="8"/>
  <c r="F9" i="17"/>
  <c r="F14" i="17" s="1"/>
  <c r="G45" i="6"/>
  <c r="C33" i="11"/>
  <c r="D8" i="16" l="1"/>
  <c r="D9" i="17"/>
  <c r="D8" i="17"/>
  <c r="D9" i="16"/>
  <c r="D18" i="11" l="1"/>
  <c r="D19" i="11" l="1"/>
  <c r="E18" i="11"/>
  <c r="F18" i="11"/>
  <c r="B21" i="9" l="1"/>
  <c r="B33" i="9" s="1"/>
  <c r="B34" i="9" s="1"/>
  <c r="E19" i="11"/>
  <c r="F19" i="11"/>
  <c r="D20" i="11"/>
  <c r="D29" i="11" s="1"/>
  <c r="B20" i="9" l="1"/>
  <c r="B22" i="9" s="1"/>
  <c r="D21" i="9"/>
  <c r="F20" i="11"/>
  <c r="F29" i="11" s="1"/>
  <c r="G25" i="6" s="1"/>
  <c r="C21" i="9"/>
  <c r="C33" i="9" s="1"/>
  <c r="C34" i="9" s="1"/>
  <c r="E20" i="11"/>
  <c r="E29" i="11" s="1"/>
  <c r="F25" i="6" s="1"/>
  <c r="D32" i="17"/>
  <c r="D44" i="16"/>
  <c r="D44" i="17"/>
  <c r="D43" i="17"/>
  <c r="D43" i="16"/>
  <c r="D32" i="16"/>
  <c r="D34" i="16" s="1"/>
  <c r="B36" i="9" l="1"/>
  <c r="B38" i="9" s="1"/>
  <c r="B39" i="9" s="1"/>
  <c r="B42" i="9" s="1"/>
  <c r="D33" i="9"/>
  <c r="D34" i="9" s="1"/>
  <c r="D20" i="9"/>
  <c r="C20" i="9"/>
  <c r="C36" i="9" s="1"/>
  <c r="D36" i="16"/>
  <c r="E36" i="16" s="1"/>
  <c r="D51" i="16"/>
  <c r="F51" i="16" s="1"/>
  <c r="D50" i="16"/>
  <c r="G50" i="16" s="1"/>
  <c r="D58" i="16"/>
  <c r="F58" i="16" s="1"/>
  <c r="D53" i="17"/>
  <c r="D60" i="16"/>
  <c r="D53" i="16"/>
  <c r="D59" i="16"/>
  <c r="D60" i="17"/>
  <c r="K60" i="17" s="1"/>
  <c r="D58" i="17"/>
  <c r="F58" i="17" s="1"/>
  <c r="D59" i="17"/>
  <c r="D34" i="17"/>
  <c r="D36" i="17" s="1"/>
  <c r="K38" i="17"/>
  <c r="K54" i="17"/>
  <c r="AH39" i="3"/>
  <c r="AI39" i="3" s="1"/>
  <c r="AJ39" i="3" s="1"/>
  <c r="AG39" i="3" l="1"/>
  <c r="C22" i="9"/>
  <c r="C38" i="9"/>
  <c r="C39" i="9" s="1"/>
  <c r="AC39" i="3"/>
  <c r="D22" i="9"/>
  <c r="D36" i="9"/>
  <c r="D38" i="9" s="1"/>
  <c r="D39" i="9" s="1"/>
  <c r="D35" i="16"/>
  <c r="D45" i="17"/>
  <c r="D45" i="16"/>
  <c r="D35" i="17"/>
  <c r="J36" i="17"/>
  <c r="E36" i="17"/>
  <c r="H36" i="17"/>
  <c r="I36" i="17"/>
  <c r="G36" i="17"/>
  <c r="F36" i="17"/>
  <c r="I53" i="16"/>
  <c r="F53" i="16"/>
  <c r="G53" i="16"/>
  <c r="J53" i="16"/>
  <c r="J55" i="16" s="1"/>
  <c r="E53" i="16"/>
  <c r="E55" i="16" s="1"/>
  <c r="H53" i="16"/>
  <c r="H55" i="16" s="1"/>
  <c r="D54" i="17"/>
  <c r="K55" i="17"/>
  <c r="D38" i="17"/>
  <c r="K39" i="17"/>
  <c r="K39" i="16"/>
  <c r="D38" i="16"/>
  <c r="G53" i="17"/>
  <c r="I53" i="17"/>
  <c r="H53" i="17"/>
  <c r="H55" i="17" s="1"/>
  <c r="E53" i="17"/>
  <c r="E55" i="17" s="1"/>
  <c r="J53" i="17"/>
  <c r="J55" i="17" s="1"/>
  <c r="F53" i="17"/>
  <c r="AE39" i="3" l="1"/>
  <c r="AF39" i="3"/>
  <c r="D42" i="9"/>
  <c r="AD39" i="3"/>
  <c r="C42" i="9"/>
  <c r="H35" i="16"/>
  <c r="F35" i="16"/>
  <c r="J35" i="16"/>
  <c r="E35" i="16"/>
  <c r="I35" i="16"/>
  <c r="G35" i="16"/>
  <c r="G35" i="17"/>
  <c r="G37" i="17" s="1"/>
  <c r="G39" i="17" s="1"/>
  <c r="J35" i="17"/>
  <c r="J37" i="17" s="1"/>
  <c r="J39" i="17" s="1"/>
  <c r="E35" i="17"/>
  <c r="E37" i="17" s="1"/>
  <c r="F35" i="17"/>
  <c r="F37" i="17" s="1"/>
  <c r="F39" i="17" s="1"/>
  <c r="I35" i="17"/>
  <c r="I37" i="17" s="1"/>
  <c r="I39" i="17" s="1"/>
  <c r="H35" i="17"/>
  <c r="H37" i="17" s="1"/>
  <c r="H39" i="17" s="1"/>
  <c r="H36" i="16"/>
  <c r="I36" i="16"/>
  <c r="F36" i="16"/>
  <c r="G36" i="16"/>
  <c r="J36" i="16"/>
  <c r="D52" i="16" l="1"/>
  <c r="D49" i="16"/>
  <c r="D50" i="17"/>
  <c r="G50" i="17" s="1"/>
  <c r="K54" i="16"/>
  <c r="D51" i="17"/>
  <c r="F51" i="17" s="1"/>
  <c r="D49" i="17"/>
  <c r="F37" i="16"/>
  <c r="F39" i="16" s="1"/>
  <c r="H37" i="16"/>
  <c r="H39" i="16" s="1"/>
  <c r="I37" i="16"/>
  <c r="I39" i="16" s="1"/>
  <c r="G37" i="16"/>
  <c r="G39" i="16" s="1"/>
  <c r="E37" i="16"/>
  <c r="E39" i="16" s="1"/>
  <c r="J37" i="16"/>
  <c r="J39" i="16" s="1"/>
  <c r="D37" i="17"/>
  <c r="E39" i="17"/>
  <c r="G55" i="16" l="1"/>
  <c r="I55" i="17"/>
  <c r="D39" i="16"/>
  <c r="I55" i="16"/>
  <c r="D55" i="17"/>
  <c r="D54" i="16"/>
  <c r="D55" i="16" s="1"/>
  <c r="K55" i="16"/>
  <c r="G55" i="17"/>
  <c r="D37" i="16"/>
  <c r="D39" i="17"/>
  <c r="E42" i="17" s="1"/>
  <c r="F55" i="17" l="1"/>
  <c r="F55" i="16"/>
  <c r="E21" i="16"/>
  <c r="E41" i="16"/>
  <c r="E44" i="17"/>
  <c r="E44" i="16"/>
  <c r="E59" i="16"/>
  <c r="E42" i="16"/>
  <c r="E59" i="17"/>
  <c r="E21" i="17"/>
  <c r="D46" i="16"/>
  <c r="K42" i="16"/>
  <c r="K41" i="16"/>
  <c r="K44" i="16"/>
  <c r="K59" i="16"/>
  <c r="K21" i="16"/>
  <c r="H41" i="16"/>
  <c r="J21" i="16"/>
  <c r="F41" i="16"/>
  <c r="G41" i="16"/>
  <c r="I44" i="16"/>
  <c r="H44" i="16"/>
  <c r="J42" i="16"/>
  <c r="F44" i="16"/>
  <c r="G21" i="16"/>
  <c r="I42" i="16"/>
  <c r="H21" i="16"/>
  <c r="J44" i="16"/>
  <c r="G44" i="16"/>
  <c r="F21" i="16"/>
  <c r="G42" i="16"/>
  <c r="I21" i="16"/>
  <c r="J59" i="16"/>
  <c r="F59" i="16"/>
  <c r="G59" i="16"/>
  <c r="I41" i="16"/>
  <c r="H59" i="16"/>
  <c r="J41" i="16"/>
  <c r="F42" i="16"/>
  <c r="I59" i="16"/>
  <c r="H42" i="16"/>
  <c r="E41" i="17"/>
  <c r="D46" i="17"/>
  <c r="K42" i="17"/>
  <c r="K41" i="17"/>
  <c r="K59" i="17"/>
  <c r="K44" i="17"/>
  <c r="K21" i="17"/>
  <c r="I21" i="17"/>
  <c r="J42" i="17"/>
  <c r="F59" i="17"/>
  <c r="H42" i="17"/>
  <c r="I44" i="17"/>
  <c r="J59" i="17"/>
  <c r="G42" i="17"/>
  <c r="H21" i="17"/>
  <c r="J41" i="17"/>
  <c r="F41" i="17"/>
  <c r="G59" i="17"/>
  <c r="G44" i="17"/>
  <c r="F44" i="17"/>
  <c r="G21" i="17"/>
  <c r="H41" i="17"/>
  <c r="I41" i="17"/>
  <c r="F21" i="17"/>
  <c r="G41" i="17"/>
  <c r="H44" i="17"/>
  <c r="I42" i="17"/>
  <c r="J21" i="17"/>
  <c r="F42" i="17"/>
  <c r="H59" i="17"/>
  <c r="I59" i="17"/>
  <c r="J44" i="17"/>
  <c r="D21" i="16" l="1"/>
  <c r="D21" i="17"/>
  <c r="D22" i="12" l="1"/>
  <c r="E45" i="17" l="1"/>
  <c r="E46" i="17" s="1"/>
  <c r="E12" i="7" s="1"/>
  <c r="H45" i="17"/>
  <c r="H46" i="17" s="1"/>
  <c r="H12" i="7" s="1"/>
  <c r="G45" i="17"/>
  <c r="G46" i="17" s="1"/>
  <c r="G12" i="7" s="1"/>
  <c r="F45" i="17"/>
  <c r="F46" i="17" s="1"/>
  <c r="F12" i="7" s="1"/>
  <c r="D18" i="13"/>
  <c r="I45" i="17"/>
  <c r="I46" i="17" s="1"/>
  <c r="I12" i="7" s="1"/>
  <c r="J45" i="17"/>
  <c r="J46" i="17" s="1"/>
  <c r="J12" i="7" s="1"/>
  <c r="K45" i="17" l="1"/>
  <c r="K46" i="17" s="1"/>
  <c r="K12" i="7" s="1"/>
  <c r="D12" i="7" s="1"/>
  <c r="E18" i="13"/>
  <c r="D6" i="13"/>
  <c r="D17" i="13"/>
  <c r="O57" i="3" l="1"/>
  <c r="O58" i="3" s="1"/>
  <c r="F18" i="3"/>
  <c r="F42" i="6" l="1"/>
  <c r="G42" i="6"/>
  <c r="G59" i="6"/>
  <c r="F59" i="6"/>
  <c r="P57" i="3"/>
  <c r="P58" i="3" s="1"/>
  <c r="I18" i="3"/>
  <c r="F55" i="6" l="1"/>
  <c r="F56" i="6" s="1"/>
  <c r="F64" i="6"/>
  <c r="G55" i="6"/>
  <c r="G56" i="6" s="1"/>
  <c r="G64" i="6"/>
  <c r="R57" i="3"/>
  <c r="R58" i="3" s="1"/>
  <c r="L18" i="3"/>
  <c r="O18" i="3" l="1"/>
  <c r="S57" i="3"/>
  <c r="S58" i="3" s="1"/>
  <c r="R18" i="3" l="1"/>
  <c r="U57" i="3"/>
  <c r="U58" i="3" s="1"/>
  <c r="U18" i="3" l="1"/>
  <c r="V57" i="3"/>
  <c r="V58" i="3" s="1"/>
  <c r="F6" i="6" l="1"/>
  <c r="F8" i="6"/>
  <c r="F10" i="6"/>
  <c r="G9" i="6"/>
  <c r="G7" i="6"/>
  <c r="G11" i="6"/>
  <c r="F9" i="6"/>
  <c r="G10" i="6"/>
  <c r="F7" i="6"/>
  <c r="G8" i="6"/>
  <c r="G6" i="6"/>
  <c r="F11" i="6"/>
  <c r="H45" i="16"/>
  <c r="H46" i="16" s="1"/>
  <c r="H4" i="7" s="1"/>
  <c r="E45" i="16"/>
  <c r="E46" i="16" s="1"/>
  <c r="E4" i="7" s="1"/>
  <c r="G45" i="16"/>
  <c r="G46" i="16" s="1"/>
  <c r="G4" i="7" s="1"/>
  <c r="D7" i="13"/>
  <c r="F45" i="16"/>
  <c r="F46" i="16" s="1"/>
  <c r="F4" i="7" s="1"/>
  <c r="J45" i="16"/>
  <c r="J46" i="16" s="1"/>
  <c r="J4" i="7" s="1"/>
  <c r="I45" i="16"/>
  <c r="I46" i="16" s="1"/>
  <c r="I4" i="7" s="1"/>
  <c r="F14" i="6" l="1"/>
  <c r="K45" i="16"/>
  <c r="K46" i="16" s="1"/>
  <c r="K4" i="7" s="1"/>
  <c r="D4" i="7" s="1"/>
  <c r="S38" i="3"/>
  <c r="U38" i="3"/>
  <c r="S40" i="3"/>
  <c r="P38" i="3"/>
  <c r="P39" i="3"/>
  <c r="S35" i="3"/>
  <c r="O36" i="3"/>
  <c r="F10" i="3" s="1"/>
  <c r="R40" i="3"/>
  <c r="P37" i="3"/>
  <c r="V37" i="3"/>
  <c r="R39" i="3"/>
  <c r="V39" i="3"/>
  <c r="S39" i="3"/>
  <c r="V36" i="3"/>
  <c r="P35" i="3"/>
  <c r="V40" i="3"/>
  <c r="O39" i="3"/>
  <c r="R37" i="3"/>
  <c r="S36" i="3"/>
  <c r="V35" i="3"/>
  <c r="O37" i="3"/>
  <c r="F9" i="3" s="1"/>
  <c r="O38" i="3"/>
  <c r="O35" i="3"/>
  <c r="R38" i="3"/>
  <c r="U39" i="3"/>
  <c r="R36" i="3"/>
  <c r="U40" i="3"/>
  <c r="V38" i="3"/>
  <c r="O40" i="3"/>
  <c r="U37" i="3"/>
  <c r="U35" i="3"/>
  <c r="P40" i="3"/>
  <c r="S37" i="3"/>
  <c r="P36" i="3"/>
  <c r="R35" i="3"/>
  <c r="U36" i="3"/>
  <c r="D16" i="16"/>
  <c r="O9" i="3" l="1"/>
  <c r="E7" i="13"/>
  <c r="I10" i="3"/>
  <c r="O11" i="3"/>
  <c r="L9" i="3"/>
  <c r="L10" i="3"/>
  <c r="O10" i="3"/>
  <c r="L14" i="3"/>
  <c r="R55" i="3"/>
  <c r="O55" i="3"/>
  <c r="O56" i="3" s="1"/>
  <c r="F14" i="3"/>
  <c r="F11" i="3"/>
  <c r="R9" i="3"/>
  <c r="R10" i="3"/>
  <c r="R8" i="3"/>
  <c r="U53" i="3"/>
  <c r="R11" i="3"/>
  <c r="L11" i="3"/>
  <c r="O8" i="3"/>
  <c r="S53" i="3"/>
  <c r="R14" i="3"/>
  <c r="U55" i="3"/>
  <c r="V55" i="3"/>
  <c r="U14" i="3"/>
  <c r="U10" i="3"/>
  <c r="U11" i="3"/>
  <c r="I9" i="3"/>
  <c r="S55" i="3"/>
  <c r="O14" i="3"/>
  <c r="R53" i="3"/>
  <c r="L8" i="3"/>
  <c r="U9" i="3"/>
  <c r="P55" i="3"/>
  <c r="I14" i="3"/>
  <c r="F8" i="3"/>
  <c r="O53" i="3"/>
  <c r="O54" i="3" s="1"/>
  <c r="U8" i="3"/>
  <c r="V53" i="3"/>
  <c r="I8" i="3"/>
  <c r="P53" i="3"/>
  <c r="I11" i="3"/>
  <c r="F16" i="17"/>
  <c r="D16" i="17" s="1"/>
  <c r="V54" i="3" l="1"/>
  <c r="P56" i="3"/>
  <c r="L12" i="3"/>
  <c r="I12" i="3"/>
  <c r="S56" i="3"/>
  <c r="R56" i="3"/>
  <c r="U12" i="3"/>
  <c r="O12" i="3"/>
  <c r="R12" i="3"/>
  <c r="P54" i="3"/>
  <c r="O16" i="3"/>
  <c r="U56" i="3"/>
  <c r="L16" i="3"/>
  <c r="F12" i="3"/>
  <c r="I16" i="3"/>
  <c r="S54" i="3"/>
  <c r="U54" i="3"/>
  <c r="R16" i="3"/>
  <c r="U16" i="3"/>
  <c r="R54" i="3"/>
  <c r="V56" i="3"/>
  <c r="F16" i="3"/>
  <c r="L20" i="3" l="1"/>
  <c r="M11" i="3" s="1"/>
  <c r="I20" i="3"/>
  <c r="J14" i="3" s="1"/>
  <c r="O20" i="3"/>
  <c r="P10" i="3" s="1"/>
  <c r="U20" i="3"/>
  <c r="V18" i="3" s="1"/>
  <c r="R20" i="3"/>
  <c r="S9" i="3" s="1"/>
  <c r="F20" i="3"/>
  <c r="M15" i="3" l="1"/>
  <c r="M8" i="3"/>
  <c r="M9" i="3"/>
  <c r="J8" i="3"/>
  <c r="J9" i="3"/>
  <c r="J10" i="3"/>
  <c r="J15" i="3"/>
  <c r="J16" i="3" s="1"/>
  <c r="J18" i="3"/>
  <c r="P11" i="3"/>
  <c r="P18" i="3"/>
  <c r="M10" i="3"/>
  <c r="M18" i="3"/>
  <c r="M14" i="3"/>
  <c r="V10" i="3"/>
  <c r="P9" i="3"/>
  <c r="V15" i="3"/>
  <c r="V8" i="3"/>
  <c r="P8" i="3"/>
  <c r="P14" i="3"/>
  <c r="V11" i="3"/>
  <c r="J11" i="3"/>
  <c r="V9" i="3"/>
  <c r="S11" i="3"/>
  <c r="P15" i="3"/>
  <c r="V14" i="3"/>
  <c r="S14" i="3"/>
  <c r="S8" i="3"/>
  <c r="S10" i="3"/>
  <c r="S18" i="3"/>
  <c r="S15" i="3"/>
  <c r="G18" i="3"/>
  <c r="G15" i="3"/>
  <c r="G10" i="3"/>
  <c r="G9" i="3"/>
  <c r="G8" i="3"/>
  <c r="G11" i="3"/>
  <c r="G14" i="3"/>
  <c r="M16" i="3" l="1"/>
  <c r="M12" i="3"/>
  <c r="J12" i="3"/>
  <c r="V16" i="3"/>
  <c r="S16" i="3"/>
  <c r="P12" i="3"/>
  <c r="P16" i="3"/>
  <c r="V12" i="3"/>
  <c r="S12" i="3"/>
  <c r="G12" i="3"/>
  <c r="G16" i="3"/>
  <c r="F22" i="16" l="1"/>
  <c r="G22" i="16"/>
  <c r="J22" i="16"/>
  <c r="J23" i="16" s="1"/>
  <c r="J6" i="7" s="1"/>
  <c r="I22" i="16"/>
  <c r="I23" i="16" s="1"/>
  <c r="I6" i="7" s="1"/>
  <c r="E22" i="16"/>
  <c r="E23" i="16" s="1"/>
  <c r="H22" i="16"/>
  <c r="H23" i="16" s="1"/>
  <c r="H6" i="7" s="1"/>
  <c r="K22" i="16"/>
  <c r="G23" i="16" l="1"/>
  <c r="G6" i="7" s="1"/>
  <c r="F23" i="16"/>
  <c r="E6" i="7"/>
  <c r="F44" i="6"/>
  <c r="G44" i="6"/>
  <c r="G14" i="6"/>
  <c r="D20" i="16"/>
  <c r="F70" i="6" l="1"/>
  <c r="F41" i="6" s="1"/>
  <c r="F51" i="6" s="1"/>
  <c r="F66" i="6" s="1"/>
  <c r="F6" i="7"/>
  <c r="G70" i="6"/>
  <c r="G41" i="6" s="1"/>
  <c r="H22" i="17"/>
  <c r="H23" i="17" s="1"/>
  <c r="H14" i="7" s="1"/>
  <c r="G22" i="17"/>
  <c r="G23" i="17" s="1"/>
  <c r="G14" i="7" s="1"/>
  <c r="F22" i="17"/>
  <c r="F23" i="17" s="1"/>
  <c r="F14" i="7" s="1"/>
  <c r="I22" i="17"/>
  <c r="I23" i="17" s="1"/>
  <c r="I14" i="7" s="1"/>
  <c r="E22" i="17"/>
  <c r="E23" i="17" s="1"/>
  <c r="J22" i="17"/>
  <c r="J23" i="17" s="1"/>
  <c r="J14" i="7" s="1"/>
  <c r="K22" i="17"/>
  <c r="K23" i="16"/>
  <c r="D23" i="16" l="1"/>
  <c r="E11" i="13"/>
  <c r="D11" i="13" s="1"/>
  <c r="F31" i="6"/>
  <c r="E14" i="7"/>
  <c r="G51" i="6"/>
  <c r="G66" i="6" s="1"/>
  <c r="G68" i="6" s="1"/>
  <c r="F4" i="12" s="1"/>
  <c r="G31" i="6"/>
  <c r="K6" i="7"/>
  <c r="D6" i="7" s="1"/>
  <c r="D20" i="17"/>
  <c r="G33" i="6" l="1"/>
  <c r="F33" i="6"/>
  <c r="K23" i="17"/>
  <c r="D23" i="17" l="1"/>
  <c r="E22" i="13"/>
  <c r="D22" i="13" s="1"/>
  <c r="F68" i="6"/>
  <c r="E4" i="12" s="1"/>
  <c r="E7" i="12" s="1"/>
  <c r="K14" i="7"/>
  <c r="D14" i="7" s="1"/>
  <c r="O42" i="3"/>
  <c r="AE34" i="3" s="1"/>
  <c r="F6" i="12" l="1"/>
  <c r="F7" i="12" s="1"/>
  <c r="F9" i="12" s="1"/>
  <c r="F11" i="12" s="1"/>
  <c r="F22" i="12" s="1"/>
  <c r="E9" i="12"/>
  <c r="E11" i="12" s="1"/>
  <c r="E22" i="12" s="1"/>
  <c r="O43" i="3"/>
  <c r="F26" i="6" l="1"/>
  <c r="F27" i="6" s="1"/>
  <c r="D17" i="16"/>
  <c r="F29" i="6" l="1"/>
  <c r="F35" i="6" s="1"/>
  <c r="D18" i="16"/>
  <c r="O49" i="3"/>
  <c r="AE36" i="3" s="1"/>
  <c r="D10" i="16" l="1"/>
  <c r="G26" i="6"/>
  <c r="G27" i="6" s="1"/>
  <c r="D4" i="16"/>
  <c r="I5" i="16" s="1"/>
  <c r="D17" i="17"/>
  <c r="P42" i="3"/>
  <c r="AF34" i="3" s="1"/>
  <c r="D11" i="16" l="1"/>
  <c r="E5" i="16"/>
  <c r="E10" i="16" s="1"/>
  <c r="E11" i="16" s="1"/>
  <c r="E7" i="7" s="1"/>
  <c r="D10" i="17"/>
  <c r="D11" i="17" s="1"/>
  <c r="G29" i="6"/>
  <c r="G35" i="6" s="1"/>
  <c r="K5" i="16"/>
  <c r="K57" i="16" s="1"/>
  <c r="D8" i="13" s="1"/>
  <c r="J5" i="16"/>
  <c r="J17" i="16" s="1"/>
  <c r="J18" i="16" s="1"/>
  <c r="J8" i="7" s="1"/>
  <c r="F5" i="16"/>
  <c r="F57" i="16" s="1"/>
  <c r="F61" i="16" s="1"/>
  <c r="F62" i="16" s="1"/>
  <c r="F5" i="7" s="1"/>
  <c r="G5" i="16"/>
  <c r="I57" i="16"/>
  <c r="I61" i="16" s="1"/>
  <c r="I62" i="16" s="1"/>
  <c r="I5" i="7" s="1"/>
  <c r="I10" i="16"/>
  <c r="I11" i="16" s="1"/>
  <c r="I7" i="7" s="1"/>
  <c r="I17" i="16"/>
  <c r="I18" i="16" s="1"/>
  <c r="I8" i="7" s="1"/>
  <c r="H5" i="16"/>
  <c r="D18" i="17"/>
  <c r="P43" i="3"/>
  <c r="E57" i="16"/>
  <c r="E17" i="16"/>
  <c r="E18" i="16" s="1"/>
  <c r="E8" i="7" s="1"/>
  <c r="F10" i="16" l="1"/>
  <c r="F11" i="16" s="1"/>
  <c r="F7" i="7" s="1"/>
  <c r="K10" i="16"/>
  <c r="K11" i="16" s="1"/>
  <c r="F17" i="16"/>
  <c r="F18" i="16" s="1"/>
  <c r="F8" i="7" s="1"/>
  <c r="K17" i="16"/>
  <c r="K18" i="16" s="1"/>
  <c r="J57" i="16"/>
  <c r="J61" i="16" s="1"/>
  <c r="J62" i="16" s="1"/>
  <c r="J5" i="7" s="1"/>
  <c r="D5" i="16"/>
  <c r="J10" i="16"/>
  <c r="J11" i="16" s="1"/>
  <c r="J7" i="7" s="1"/>
  <c r="G10" i="16"/>
  <c r="G11" i="16" s="1"/>
  <c r="G7" i="7" s="1"/>
  <c r="G57" i="16"/>
  <c r="G61" i="16" s="1"/>
  <c r="G62" i="16" s="1"/>
  <c r="G5" i="7" s="1"/>
  <c r="G17" i="16"/>
  <c r="G18" i="16" s="1"/>
  <c r="G8" i="7" s="1"/>
  <c r="K61" i="16"/>
  <c r="H17" i="16"/>
  <c r="H18" i="16" s="1"/>
  <c r="H8" i="7" s="1"/>
  <c r="H57" i="16"/>
  <c r="H61" i="16" s="1"/>
  <c r="H62" i="16" s="1"/>
  <c r="H5" i="7" s="1"/>
  <c r="H10" i="16"/>
  <c r="H11" i="16" s="1"/>
  <c r="H7" i="7" s="1"/>
  <c r="I9" i="7"/>
  <c r="E61" i="16"/>
  <c r="E62" i="16" s="1"/>
  <c r="D4" i="17"/>
  <c r="K5" i="17" s="1"/>
  <c r="K57" i="17" s="1"/>
  <c r="D19" i="13" s="1"/>
  <c r="E19" i="13" s="1"/>
  <c r="E20" i="13" s="1"/>
  <c r="D20" i="13" l="1"/>
  <c r="E12" i="13"/>
  <c r="D12" i="13" s="1"/>
  <c r="E13" i="13"/>
  <c r="D13" i="13" s="1"/>
  <c r="F9" i="7"/>
  <c r="K7" i="7"/>
  <c r="D7" i="7" s="1"/>
  <c r="K62" i="16"/>
  <c r="K5" i="7" s="1"/>
  <c r="K8" i="7"/>
  <c r="D8" i="7" s="1"/>
  <c r="J9" i="7"/>
  <c r="G9" i="7"/>
  <c r="I5" i="17"/>
  <c r="I17" i="17" s="1"/>
  <c r="I18" i="17" s="1"/>
  <c r="I16" i="7" s="1"/>
  <c r="F5" i="17"/>
  <c r="F57" i="17" s="1"/>
  <c r="F61" i="17" s="1"/>
  <c r="F62" i="17" s="1"/>
  <c r="F13" i="7" s="1"/>
  <c r="H9" i="7"/>
  <c r="G5" i="17"/>
  <c r="G17" i="17" s="1"/>
  <c r="K10" i="17"/>
  <c r="K11" i="17" s="1"/>
  <c r="E23" i="13" s="1"/>
  <c r="D23" i="13" s="1"/>
  <c r="K17" i="17"/>
  <c r="K18" i="17" s="1"/>
  <c r="E24" i="13" s="1"/>
  <c r="D24" i="13" s="1"/>
  <c r="E5" i="7"/>
  <c r="R42" i="3"/>
  <c r="AG34" i="3" s="1"/>
  <c r="P49" i="3"/>
  <c r="AF36" i="3" s="1"/>
  <c r="J5" i="17"/>
  <c r="E5" i="17"/>
  <c r="D57" i="16"/>
  <c r="D61" i="16" s="1"/>
  <c r="H5" i="17"/>
  <c r="D25" i="13" l="1"/>
  <c r="E25" i="13"/>
  <c r="D62" i="16"/>
  <c r="G18" i="17"/>
  <c r="G16" i="7" s="1"/>
  <c r="E8" i="13"/>
  <c r="E9" i="13" s="1"/>
  <c r="K9" i="7"/>
  <c r="F10" i="17"/>
  <c r="F11" i="17" s="1"/>
  <c r="F15" i="7" s="1"/>
  <c r="G10" i="17"/>
  <c r="G11" i="17" s="1"/>
  <c r="G15" i="7" s="1"/>
  <c r="I57" i="17"/>
  <c r="I61" i="17" s="1"/>
  <c r="I62" i="17" s="1"/>
  <c r="I13" i="7" s="1"/>
  <c r="I10" i="17"/>
  <c r="I11" i="17" s="1"/>
  <c r="I15" i="7" s="1"/>
  <c r="G57" i="17"/>
  <c r="G61" i="17" s="1"/>
  <c r="G62" i="17" s="1"/>
  <c r="G13" i="7" s="1"/>
  <c r="F17" i="17"/>
  <c r="F18" i="17" s="1"/>
  <c r="F16" i="7" s="1"/>
  <c r="R43" i="3"/>
  <c r="K16" i="7"/>
  <c r="K15" i="7"/>
  <c r="K61" i="17"/>
  <c r="K62" i="17" s="1"/>
  <c r="K13" i="7" s="1"/>
  <c r="E9" i="7"/>
  <c r="D5" i="7"/>
  <c r="J57" i="17"/>
  <c r="J61" i="17" s="1"/>
  <c r="J62" i="17" s="1"/>
  <c r="J13" i="7" s="1"/>
  <c r="J10" i="17"/>
  <c r="J11" i="17" s="1"/>
  <c r="J15" i="7" s="1"/>
  <c r="J17" i="17"/>
  <c r="J18" i="17" s="1"/>
  <c r="J16" i="7" s="1"/>
  <c r="E57" i="17"/>
  <c r="E61" i="17" s="1"/>
  <c r="E62" i="17" s="1"/>
  <c r="D5" i="17"/>
  <c r="E17" i="17"/>
  <c r="E18" i="17" s="1"/>
  <c r="E16" i="7" s="1"/>
  <c r="E10" i="17"/>
  <c r="E11" i="17" s="1"/>
  <c r="E15" i="7" s="1"/>
  <c r="H57" i="17"/>
  <c r="H61" i="17" s="1"/>
  <c r="H62" i="17" s="1"/>
  <c r="H13" i="7" s="1"/>
  <c r="H17" i="17"/>
  <c r="H18" i="17" s="1"/>
  <c r="H16" i="7" s="1"/>
  <c r="H10" i="17"/>
  <c r="H11" i="17" s="1"/>
  <c r="H15" i="7" s="1"/>
  <c r="E14" i="13" l="1"/>
  <c r="D9" i="13"/>
  <c r="F17" i="7"/>
  <c r="G17" i="7"/>
  <c r="I17" i="7"/>
  <c r="O45" i="3"/>
  <c r="D16" i="7"/>
  <c r="H17" i="7"/>
  <c r="J17" i="7"/>
  <c r="D15" i="7"/>
  <c r="D57" i="17"/>
  <c r="D61" i="17" s="1"/>
  <c r="D9" i="7"/>
  <c r="E13" i="7"/>
  <c r="D62" i="17"/>
  <c r="K17" i="7"/>
  <c r="D14" i="13" l="1"/>
  <c r="O60" i="3"/>
  <c r="O61" i="3" s="1"/>
  <c r="AE35" i="3"/>
  <c r="AE37" i="3" s="1"/>
  <c r="O47" i="3"/>
  <c r="R49" i="3"/>
  <c r="AG36" i="3" s="1"/>
  <c r="E17" i="7"/>
  <c r="D13" i="7"/>
  <c r="S42" i="3" l="1"/>
  <c r="AH34" i="3" s="1"/>
  <c r="D17" i="7"/>
  <c r="S43" i="3" l="1"/>
  <c r="P45" i="3" l="1"/>
  <c r="P60" i="3" l="1"/>
  <c r="P61" i="3" s="1"/>
  <c r="AF35" i="3"/>
  <c r="AF37" i="3" s="1"/>
  <c r="P47" i="3"/>
  <c r="S49" i="3"/>
  <c r="AH36" i="3" s="1"/>
  <c r="U42" i="3" l="1"/>
  <c r="AI34" i="3" s="1"/>
  <c r="U43" i="3" l="1"/>
  <c r="R45" i="3" l="1"/>
  <c r="R47" i="3" l="1"/>
  <c r="AG35" i="3"/>
  <c r="AG37" i="3" s="1"/>
  <c r="R60" i="3"/>
  <c r="R61" i="3" s="1"/>
  <c r="U49" i="3"/>
  <c r="AI36" i="3" s="1"/>
  <c r="V42" i="3"/>
  <c r="AJ34" i="3" s="1"/>
  <c r="V43" i="3" l="1"/>
  <c r="S45" i="3" l="1"/>
  <c r="AH35" i="3" l="1"/>
  <c r="AH37" i="3" s="1"/>
  <c r="S47" i="3"/>
  <c r="S60" i="3"/>
  <c r="S61" i="3" s="1"/>
  <c r="V49" i="3"/>
  <c r="AJ36" i="3" s="1"/>
  <c r="U45" i="3" l="1"/>
  <c r="U47" i="3" l="1"/>
  <c r="U60" i="3"/>
  <c r="U61" i="3" s="1"/>
  <c r="AI35" i="3"/>
  <c r="AI37" i="3" s="1"/>
  <c r="V45" i="3" l="1"/>
  <c r="AJ35" i="3" l="1"/>
  <c r="AJ37" i="3" s="1"/>
  <c r="V60" i="3"/>
  <c r="V61" i="3" s="1"/>
  <c r="V47" i="3"/>
</calcChain>
</file>

<file path=xl/comments1.xml><?xml version="1.0" encoding="utf-8"?>
<comments xmlns="http://schemas.openxmlformats.org/spreadsheetml/2006/main">
  <authors>
    <author>BPA User</author>
  </authors>
  <commentList>
    <comment ref="D25" authorId="0">
      <text>
        <r>
          <rPr>
            <b/>
            <sz val="9"/>
            <color indexed="81"/>
            <rFont val="Tahoma"/>
            <family val="2"/>
          </rPr>
          <t>Link to Plant Investment File</t>
        </r>
      </text>
    </comment>
  </commentList>
</comments>
</file>

<file path=xl/comments2.xml><?xml version="1.0" encoding="utf-8"?>
<comments xmlns="http://schemas.openxmlformats.org/spreadsheetml/2006/main">
  <authors>
    <author>Stephanie Adams</author>
    <author>BPA User</author>
  </authors>
  <commentList>
    <comment ref="F38" authorId="0">
      <text>
        <r>
          <rPr>
            <b/>
            <sz val="9"/>
            <color indexed="81"/>
            <rFont val="Tahoma"/>
            <family val="2"/>
          </rPr>
          <t>Stephanie Adams:</t>
        </r>
        <r>
          <rPr>
            <sz val="9"/>
            <color indexed="81"/>
            <rFont val="Tahoma"/>
            <family val="2"/>
          </rPr>
          <t xml:space="preserve">
Updated to reflect Errata, increase in Acq. And Ancil. From GM Comparison</t>
        </r>
      </text>
    </comment>
    <comment ref="F42" authorId="1">
      <text>
        <r>
          <rPr>
            <b/>
            <sz val="9"/>
            <color indexed="81"/>
            <rFont val="Tahoma"/>
            <family val="2"/>
          </rPr>
          <t>Link to Plant Investment File</t>
        </r>
      </text>
    </comment>
  </commentList>
</comments>
</file>

<file path=xl/sharedStrings.xml><?xml version="1.0" encoding="utf-8"?>
<sst xmlns="http://schemas.openxmlformats.org/spreadsheetml/2006/main" count="814" uniqueCount="461">
  <si>
    <t>CONTROL CENTER SUPPORT</t>
  </si>
  <si>
    <t>INFORMATION TECHNOLOGY</t>
  </si>
  <si>
    <t>POWER SYSTEM DISPATCHING</t>
  </si>
  <si>
    <t>SCHED-RESERVATIONS</t>
  </si>
  <si>
    <t>SCHED-PRE-SCHEDULING</t>
  </si>
  <si>
    <t>SCHED-REAL-TIME SCHEDULING</t>
  </si>
  <si>
    <t>SCHED-TECHNICAL SUPPORT</t>
  </si>
  <si>
    <t>SCHED-AFTER-THE-FACT</t>
  </si>
  <si>
    <t>Origination Date:</t>
  </si>
  <si>
    <t>Scenario:</t>
  </si>
  <si>
    <t>Source:</t>
  </si>
  <si>
    <t>PROGRAM DESCRIPTION</t>
  </si>
  <si>
    <t>Timeperiod - Start:</t>
  </si>
  <si>
    <t>End:</t>
  </si>
  <si>
    <t>TRANSMISSION OPERATIONS</t>
  </si>
  <si>
    <t>TRANSMISSION ENGINEERING</t>
  </si>
  <si>
    <t>TBL REIMBURSABLES</t>
  </si>
  <si>
    <t>TBL AQUISITION &amp; ANCILLARY</t>
  </si>
  <si>
    <t>GEN &amp; ADMIN/SHARED SERVICES</t>
  </si>
  <si>
    <t>SYSTEM OPERATIONS</t>
  </si>
  <si>
    <t>BLANK</t>
  </si>
  <si>
    <t>SCHEDULING</t>
  </si>
  <si>
    <t>ANCILLARY SERVICES (BBL &amp; NON-BBL)</t>
  </si>
  <si>
    <t>SUMMARY DATA</t>
  </si>
  <si>
    <t>DETAILED DATA SUPPORTING SEGMENTATION AND ANCILLARY SERVICES ANALYSIS</t>
  </si>
  <si>
    <t>ANCILLARY SERVICES PAYMENTS (BBL)</t>
  </si>
  <si>
    <t>OTHER PAYMENTS TO PBL (BBL)</t>
  </si>
  <si>
    <t>NON BBL ANCILLARY SERVICES (NBBL)</t>
  </si>
  <si>
    <t>LEASED FACILITIES (NBBL)</t>
  </si>
  <si>
    <t>SETTLEMENT AGREEMENTS (NBBL)</t>
  </si>
  <si>
    <t>TRANSMISSION RENEWABLES (NBBL)</t>
  </si>
  <si>
    <t>MARKETING</t>
  </si>
  <si>
    <t>BUSINESS SUPPORT</t>
  </si>
  <si>
    <t>MKTG TRANSMISSION SALES</t>
  </si>
  <si>
    <t>MKTG CONTRACT MANAGEMENT</t>
  </si>
  <si>
    <t>MKTG TRANSMISSION BILLING</t>
  </si>
  <si>
    <t>MKTG BUSINESS STRAT &amp; ASSESS</t>
  </si>
  <si>
    <t>Input data in thousands</t>
  </si>
  <si>
    <t>EXECUTIVE &amp; ADMIN SERVICES</t>
  </si>
  <si>
    <t>SUBSTATION OPERATIONS</t>
  </si>
  <si>
    <t>AIRCRAFT SERVICES</t>
  </si>
  <si>
    <t>LOGISTICS SERVICES</t>
  </si>
  <si>
    <t>SECURITY ENHANCEMENTS EXPENSE</t>
  </si>
  <si>
    <t>LEGAL SUPPORT - EXPENSE</t>
  </si>
  <si>
    <t>cells</t>
  </si>
  <si>
    <t>INSTRUCTIONS:</t>
  </si>
  <si>
    <t>MAIN GRID</t>
  </si>
  <si>
    <t>AREA &amp; CUSTOMER SERVICE</t>
  </si>
  <si>
    <t>SYSTEM REPLACEMENTS</t>
  </si>
  <si>
    <t>UPGRADES &amp; ADDITIONS</t>
  </si>
  <si>
    <t>ENVIRONMENT CAPITAL</t>
  </si>
  <si>
    <t xml:space="preserve">  PFIA</t>
  </si>
  <si>
    <t>FACILITIES MANAGEMENT</t>
  </si>
  <si>
    <t>CORPORATE</t>
  </si>
  <si>
    <t>TRANSMISSION</t>
  </si>
  <si>
    <t>TRANSMISSION TOTAL</t>
  </si>
  <si>
    <t>CORPORATE TOTAL</t>
  </si>
  <si>
    <t>Corp Allocation:</t>
  </si>
  <si>
    <t xml:space="preserve">FS fill in </t>
  </si>
  <si>
    <t xml:space="preserve">Scenario Notes: </t>
  </si>
  <si>
    <t>Analysis By:</t>
  </si>
  <si>
    <t xml:space="preserve">QC By: </t>
  </si>
  <si>
    <t>OPERATING EXPENSES</t>
  </si>
  <si>
    <t>TRANSMISSION ACQ &amp; ANCILLARY SERVICES</t>
  </si>
  <si>
    <t>BPA INTERNAL SUPPORT</t>
  </si>
  <si>
    <t>OTHER INCOME, EXPENSES &amp; ADJUSTMENTS</t>
  </si>
  <si>
    <t>DEPRECIATION &amp; AMORTIZATION</t>
  </si>
  <si>
    <t>TOTAL OPERATING EXPENSES</t>
  </si>
  <si>
    <t>INTEREST EXPENSE</t>
  </si>
  <si>
    <t>FEDERAL APPROPRIATIONS</t>
  </si>
  <si>
    <t>CAPITALIZATION ADJUSTMENT</t>
  </si>
  <si>
    <t>ON LONG-TERM DEBT</t>
  </si>
  <si>
    <t>AMORTIZATION OF CAPITALIZED BOND PREMIUMS</t>
  </si>
  <si>
    <t>DEBT SERVICE REASSIGNMENT INTEREST</t>
  </si>
  <si>
    <t>AFUDC</t>
  </si>
  <si>
    <t>INTEREST INCOME</t>
  </si>
  <si>
    <t>NET INTEREST EXPENSE</t>
  </si>
  <si>
    <t>TOTAL EXPENSES</t>
  </si>
  <si>
    <t>MINIMUM REQUIRED NET REVENUE 1/</t>
  </si>
  <si>
    <t>PLANNED NET REVENUES FOR RISK</t>
  </si>
  <si>
    <t>TOTAL PLANNED NET REVENUE</t>
  </si>
  <si>
    <t>TOTAL REVENUE REQUIREMENT</t>
  </si>
  <si>
    <t>$40 Million in FY 2014-15/Even Distribution</t>
  </si>
  <si>
    <t>Link to Separate Model</t>
  </si>
  <si>
    <t>INCOME STATEMENT</t>
  </si>
  <si>
    <t>OTHER INCOME, EXPENSES, ADJUSTMENTS</t>
  </si>
  <si>
    <t>OTHER - USE OF RESERVES FOR RATE RELIEF</t>
  </si>
  <si>
    <t>INTEREST</t>
  </si>
  <si>
    <t>APPROPRIATION INTEREST</t>
  </si>
  <si>
    <t>FEDERAL</t>
  </si>
  <si>
    <t>BOND INTEREST</t>
  </si>
  <si>
    <t>DISCOUNTS</t>
  </si>
  <si>
    <t>PREMIUMS</t>
  </si>
  <si>
    <t>NON-FEDERAL</t>
  </si>
  <si>
    <t>DEBT SERVICE REASSIGNMENT</t>
  </si>
  <si>
    <t>CAPITAL LEASES</t>
  </si>
  <si>
    <t>PORT OF MORROW</t>
  </si>
  <si>
    <t>NIFC</t>
  </si>
  <si>
    <t>PORT OF MORROW LC</t>
  </si>
  <si>
    <t>FEDERAL SUB-TOTAL</t>
  </si>
  <si>
    <t>NON FEDERAL SUB-TOTAL</t>
  </si>
  <si>
    <t xml:space="preserve">LGIA </t>
  </si>
  <si>
    <t>COI</t>
  </si>
  <si>
    <t>PRINCIPAL</t>
  </si>
  <si>
    <t>APPROPRIATIONS</t>
  </si>
  <si>
    <t>BONDS</t>
  </si>
  <si>
    <t>Updated:</t>
  </si>
  <si>
    <t>Received:</t>
  </si>
  <si>
    <t>Capitalization Adj.</t>
  </si>
  <si>
    <t>Capitalized Bond Premium</t>
  </si>
  <si>
    <t>NON-FEDERAL INTEREST (INCL COI &amp; LGIA)</t>
  </si>
  <si>
    <t>Return to Index</t>
  </si>
  <si>
    <t>PREMIUMS/DISCOUNTS</t>
  </si>
  <si>
    <t>CASH FLOW STATEMENT</t>
  </si>
  <si>
    <t>CASH FROM CURRENT OPERATIONS:</t>
  </si>
  <si>
    <t>TREASURY &amp; LEASE FINANCING</t>
  </si>
  <si>
    <t>PLANT-IN-SERVICE</t>
  </si>
  <si>
    <t>SOY CWIP BALANCE</t>
  </si>
  <si>
    <t>EOY CWIP BALANCE</t>
  </si>
  <si>
    <t>AVERAGE CWIP BALANCE</t>
  </si>
  <si>
    <t>AFUDC RATE</t>
  </si>
  <si>
    <t>TRANS CAPITAL EXPENDITURES</t>
  </si>
  <si>
    <t>CORPORATE AFUDC</t>
  </si>
  <si>
    <t>CORPORATE CAPITAL (65% of Total)</t>
  </si>
  <si>
    <t>AFUDC Rate Source:</t>
  </si>
  <si>
    <t>ANNUAL CASH SURPLUS/(DEFICIT)</t>
  </si>
  <si>
    <t>ADJUSTMENTS TO CASH</t>
  </si>
  <si>
    <t>START OF YEAR CASH BALANCE</t>
  </si>
  <si>
    <t>END OF YEAR CASH BALANCE</t>
  </si>
  <si>
    <t>AVERAGE CASH BALANCE</t>
  </si>
  <si>
    <t>INTEREST INCOME RATE</t>
  </si>
  <si>
    <t>ANNUAL INTEREST INCOME</t>
  </si>
  <si>
    <t>REPAYMENT STUDY INTEREST INCOME</t>
  </si>
  <si>
    <t>TRUSTEE INTEREST INCOME ADDER</t>
  </si>
  <si>
    <t>TOTAL INTEREST INCOME</t>
  </si>
  <si>
    <t>AFUDC (ACTUALS)</t>
  </si>
  <si>
    <t>REGULAR</t>
  </si>
  <si>
    <t>LEASE FINANCING</t>
  </si>
  <si>
    <t>TOTAL TREASURY AND LEASE FINANCING TRANS AFUDC</t>
  </si>
  <si>
    <t>AFUDC FORWARD FORECAST ADJUSTMENT</t>
  </si>
  <si>
    <t>LGIA AFUDC</t>
  </si>
  <si>
    <t>LGIA  CAPITAL EXPENDITURES</t>
  </si>
  <si>
    <t>LGIA CAPITAL FORECAST</t>
  </si>
  <si>
    <t>TOTAL LGIA AFUDC</t>
  </si>
  <si>
    <t>TOTAL AFUDC</t>
  </si>
  <si>
    <t>Stephanie Adams</t>
  </si>
  <si>
    <t>DRAWDOWN OF CASH RESERVES FOR CAPITAL FUNDING</t>
  </si>
  <si>
    <t>EXPENSES NOT REQUIRING CASH:</t>
  </si>
  <si>
    <t xml:space="preserve">MINIMUM REQUIRED NET REVENUE </t>
  </si>
  <si>
    <t>TRANSMISSION CREDIT PROJECTS NET INTEREST</t>
  </si>
  <si>
    <t>NON-CASH REVENUES</t>
  </si>
  <si>
    <t>AC INTERTIE CO/FIBER</t>
  </si>
  <si>
    <t>CASH PROVIDED BY CURRENT OPERATIONS</t>
  </si>
  <si>
    <t>LGIA (INCL COI)</t>
  </si>
  <si>
    <t>LGIA REVENUES/CREDITS</t>
  </si>
  <si>
    <t>COI REVENUES/CREDITS</t>
  </si>
  <si>
    <t>Reserves for Rate Relief</t>
  </si>
  <si>
    <t>AC Intertie Rev:</t>
  </si>
  <si>
    <t>CASH USED FOR CAPITAL INVESTMENTS:</t>
  </si>
  <si>
    <t>INVESTMENT IN:</t>
  </si>
  <si>
    <t>UTILITY PLANT</t>
  </si>
  <si>
    <t>CASH USED FOR CAPITAL INVESTMENTS</t>
  </si>
  <si>
    <t>CASH FROM TREASURY BORROWING AND APPROPRIATIONS:</t>
  </si>
  <si>
    <t>INCREASE IN LONG-TERM DEBT</t>
  </si>
  <si>
    <t>DEBT SERVICE REASSIGNMENT PRINCIPAL</t>
  </si>
  <si>
    <t>REPAYMENT OF CAPITAL LEASES</t>
  </si>
  <si>
    <t>REPAYMENT OF LONG-TERM DEBT</t>
  </si>
  <si>
    <t>REPAYMENT OF CAPITAL APPROPRIATIONS</t>
  </si>
  <si>
    <t>CASH FROM TREASURY BORROWING AND APPROPRIATIONS</t>
  </si>
  <si>
    <t>ANNUAL INCREASE (DECREASE) IN CASH</t>
  </si>
  <si>
    <t>TOTAL ANNUAL INCREASE (DECREASE) IN CASH</t>
  </si>
  <si>
    <t>MINIMUM REQUIRED NET REVENUE CALCULATION</t>
  </si>
  <si>
    <t>n/a</t>
  </si>
  <si>
    <t>TOTAL</t>
  </si>
  <si>
    <t>GENERATION INTEGRATION</t>
  </si>
  <si>
    <t>NETWORK</t>
  </si>
  <si>
    <t>SOUTHERN INTERTIE</t>
  </si>
  <si>
    <t>EASTERN INTERTIE</t>
  </si>
  <si>
    <t>UTILITY DELIVERY</t>
  </si>
  <si>
    <t>DSI DELIVERY</t>
  </si>
  <si>
    <t>ANCILLARY SERVICES</t>
  </si>
  <si>
    <t>FCRTS INVESTMENT BASE</t>
  </si>
  <si>
    <t>LGIA NET INTEREST</t>
  </si>
  <si>
    <t>REMAINING NET INTEREST EXPENSE</t>
  </si>
  <si>
    <t>TOTAL NET INTEREST EXPENSE</t>
  </si>
  <si>
    <t xml:space="preserve">LGIA INTEREST </t>
  </si>
  <si>
    <t>Auto-Calculate</t>
  </si>
  <si>
    <t>NON-BBL TRANS ACQ AND ANCILLARY SERVICES</t>
  </si>
  <si>
    <t>BBL ANCILLARY SERVICES</t>
  </si>
  <si>
    <t>GEN DROPPING (BBL)</t>
  </si>
  <si>
    <t>CORPS/BUREAU TRANSMISSION (BBL)</t>
  </si>
  <si>
    <t>PLANNED NET REVENUE</t>
  </si>
  <si>
    <t>LGIA REVENUE CREDITS</t>
  </si>
  <si>
    <t>LGIA DEPRECIATION</t>
  </si>
  <si>
    <t>LGIA MINIMUM REQUIRED NET REVENUES</t>
  </si>
  <si>
    <t>TOTAL MINIMUM REQUIRED NET REVENUE</t>
  </si>
  <si>
    <t>REMAINING PLANNED NET REVENUE FOR RISK</t>
  </si>
  <si>
    <t>DIRECT DEPRECIATION</t>
  </si>
  <si>
    <t>PERCENTAGE OF DIRECT O&amp;M W/OUT AS</t>
  </si>
  <si>
    <t>TS GENERAL PLANT DEPRECATION</t>
  </si>
  <si>
    <t>TOTAL DEPRECIATION EXPENSE</t>
  </si>
  <si>
    <t>DEPRECIATION</t>
  </si>
  <si>
    <t>QTRLY FORECAST - END OF YEAR CASH BALANCE</t>
  </si>
  <si>
    <t>NEAR-TERM SUMMARY DATA</t>
  </si>
  <si>
    <t>REPAYMENT STUDY OUTPUT</t>
  </si>
  <si>
    <t>NON-FEDERAL INTEREST</t>
  </si>
  <si>
    <t>NON-FEDERAL PRINCIPLE</t>
  </si>
  <si>
    <t>FEDERAL INTEREST (EXCLUDING INTEREST INCOME)</t>
  </si>
  <si>
    <t>FEDERAL PRINCIPLE (NO DISCOUNTS/PREMIUMS)</t>
  </si>
  <si>
    <t xml:space="preserve">REVENUE REQUIREMENT </t>
  </si>
  <si>
    <t>FEDERAL NET INTEREST 1/</t>
  </si>
  <si>
    <t>MRNR</t>
  </si>
  <si>
    <t>CASH FLOW GENERATED</t>
  </si>
  <si>
    <t>CASH FLOW</t>
  </si>
  <si>
    <t>CASH FROM CURRENT OPERATIONS</t>
  </si>
  <si>
    <t>CAPITAL INVESTMENTS</t>
  </si>
  <si>
    <t>CASH FROM BORROWING</t>
  </si>
  <si>
    <t>INCREASE IN LONG TERM DEBT</t>
  </si>
  <si>
    <r>
      <t xml:space="preserve">TRANSMISSION LONG-TERM RATE FORECAST - </t>
    </r>
    <r>
      <rPr>
        <b/>
        <sz val="14"/>
        <rFont val="Calibri"/>
        <family val="2"/>
        <scheme val="minor"/>
      </rPr>
      <t>Revenue Requirement</t>
    </r>
  </si>
  <si>
    <t>LGIA CREDITS</t>
  </si>
  <si>
    <t>COI CREDITS</t>
  </si>
  <si>
    <t>1/ INTEREST COMPONENTS</t>
  </si>
  <si>
    <t>LGIA INTEREST</t>
  </si>
  <si>
    <t>2 YEAR AVERAGE REVENUE REQUIREMENT</t>
  </si>
  <si>
    <t>14/15</t>
  </si>
  <si>
    <t>16/17</t>
  </si>
  <si>
    <t>18/19</t>
  </si>
  <si>
    <t>20/21</t>
  </si>
  <si>
    <t>22/23</t>
  </si>
  <si>
    <t>24/25</t>
  </si>
  <si>
    <t>26/27</t>
  </si>
  <si>
    <t>28/29</t>
  </si>
  <si>
    <t>30/31</t>
  </si>
  <si>
    <t>32/33</t>
  </si>
  <si>
    <t>34/35</t>
  </si>
  <si>
    <t>36/37</t>
  </si>
  <si>
    <t>38/39</t>
  </si>
  <si>
    <t>40/41</t>
  </si>
  <si>
    <t>42/43</t>
  </si>
  <si>
    <t xml:space="preserve">NON-FEDERAL INTEREST </t>
  </si>
  <si>
    <t>FISH &amp; WILDLIFE</t>
  </si>
  <si>
    <t>BUREAU OF RECLAMATION</t>
  </si>
  <si>
    <t>CORPS OF ENGINEERS</t>
  </si>
  <si>
    <t>POWER TOTAL</t>
  </si>
  <si>
    <t>Power</t>
  </si>
  <si>
    <t>Transmission</t>
  </si>
  <si>
    <t>REDISPATCH &amp; STATION SERVICE (BBL)</t>
  </si>
  <si>
    <t>TOTAL BBL</t>
  </si>
  <si>
    <t>TOTAL NBBL</t>
  </si>
  <si>
    <t>TOTAL BBL &amp; NBBL</t>
  </si>
  <si>
    <t>ADJUSTMENTS</t>
  </si>
  <si>
    <t>O&amp;M SEGMENTATION</t>
  </si>
  <si>
    <t>PERCENT ALLOCATION</t>
  </si>
  <si>
    <t>SYSTEM OPERATION, MAINTENANCE, ENVIRONMENT</t>
  </si>
  <si>
    <t xml:space="preserve">SYSTEM OPERATION </t>
  </si>
  <si>
    <t>SYSTEM MAINTENANCE</t>
  </si>
  <si>
    <t>Total</t>
  </si>
  <si>
    <t>Scheduling,</t>
  </si>
  <si>
    <t>Ancillary</t>
  </si>
  <si>
    <t>Syst Control,</t>
  </si>
  <si>
    <t>Services</t>
  </si>
  <si>
    <t>&amp; Dispatch</t>
  </si>
  <si>
    <t>DIRECT O&amp;M</t>
  </si>
  <si>
    <t>TOTAL O&amp;M</t>
  </si>
  <si>
    <t>GENERATION INPUTS</t>
  </si>
  <si>
    <t xml:space="preserve">NET INTEREST </t>
  </si>
  <si>
    <t>PLANNED NET REVENUES</t>
  </si>
  <si>
    <t>TOTAL TO SEGMENT</t>
  </si>
  <si>
    <t>DIRECT LINES O&amp;M</t>
  </si>
  <si>
    <t>TOTAL DIRECT TRANSMISSION O&amp;M</t>
  </si>
  <si>
    <t>DIRECT SUBSTATION O&amp;M</t>
  </si>
  <si>
    <t>TOTAL DIRECT O&amp;M (w/AS)</t>
  </si>
  <si>
    <t>OVERHEAD CATEGORIES</t>
  </si>
  <si>
    <t>CAPITAL RELATED COSTS SEGMENTATION</t>
  </si>
  <si>
    <t>SYSTEM ENGINEERING</t>
  </si>
  <si>
    <t>STATION SERVICE</t>
  </si>
  <si>
    <t>REDISPATCH</t>
  </si>
  <si>
    <t>CORPS/BUREAU TRANSMISSION</t>
  </si>
  <si>
    <t>GEN DROPPING</t>
  </si>
  <si>
    <t>BBL -PAYMENTS TO POWER SERVICES</t>
  </si>
  <si>
    <t>NON-BBL - PAYMENTS TO OTHERS</t>
  </si>
  <si>
    <t>TOTAL TRANS ACQ AND ANCILLARY</t>
  </si>
  <si>
    <t>SEGMENTED REVENUE REQUIREMENT</t>
  </si>
  <si>
    <t>OPERATIONS &amp; MAINTENANCE</t>
  </si>
  <si>
    <t>TRANS ACQUISITION AND ANCILLARY SERVICES</t>
  </si>
  <si>
    <t>TOTAL TRANSMISSION REVENUE REQUIREMENT</t>
  </si>
  <si>
    <t>TRANSMISSION MAINTENANCE INCLUDING ENVIRONMENT</t>
  </si>
  <si>
    <t>TRANSMISSION MAINTENANCE INCL ENVIR</t>
  </si>
  <si>
    <t>BBL- SUBTOTAL</t>
  </si>
  <si>
    <t>NON-BBL- SUBTOTAL</t>
  </si>
  <si>
    <t>OVERHEAD SUB-TOTAL</t>
  </si>
  <si>
    <t>CORPORATE/OTHER</t>
  </si>
  <si>
    <t>NON-BBL /Acq. &amp; Ancillary</t>
  </si>
  <si>
    <t>7-YEAR AVERAGE O&amp;M:   LINES</t>
  </si>
  <si>
    <t>7-YEAR AVERAGE O&amp;M:   SUBSTATIONS</t>
  </si>
  <si>
    <t>TOTAL 7-YEAR AVERAGE O&amp;M</t>
  </si>
  <si>
    <t>O&amp;M OVERHEADS</t>
  </si>
  <si>
    <t>A</t>
  </si>
  <si>
    <t>B</t>
  </si>
  <si>
    <t xml:space="preserve">C </t>
  </si>
  <si>
    <t>D</t>
  </si>
  <si>
    <t>E</t>
  </si>
  <si>
    <t>F</t>
  </si>
  <si>
    <t>Expenses</t>
  </si>
  <si>
    <t>% Change in Rates</t>
  </si>
  <si>
    <t>Operations</t>
  </si>
  <si>
    <t>Maintenance</t>
  </si>
  <si>
    <t>Engineering</t>
  </si>
  <si>
    <t>Internal Support &amp; Undistributed Reduction</t>
  </si>
  <si>
    <t>IPR Sub-total</t>
  </si>
  <si>
    <r>
      <t xml:space="preserve">Ancillary Services </t>
    </r>
    <r>
      <rPr>
        <vertAlign val="superscript"/>
        <sz val="11"/>
        <rFont val="Calibri"/>
        <family val="2"/>
        <scheme val="minor"/>
      </rPr>
      <t>1/</t>
    </r>
  </si>
  <si>
    <r>
      <t xml:space="preserve">Use of Reserves for Rate Relief </t>
    </r>
    <r>
      <rPr>
        <vertAlign val="superscript"/>
        <sz val="11"/>
        <rFont val="Calibri"/>
        <family val="2"/>
        <scheme val="minor"/>
      </rPr>
      <t>2/</t>
    </r>
  </si>
  <si>
    <t>Non-IPR Sub-total</t>
  </si>
  <si>
    <r>
      <t xml:space="preserve">     Capital Related Costs </t>
    </r>
    <r>
      <rPr>
        <b/>
        <vertAlign val="superscript"/>
        <sz val="11"/>
        <rFont val="Calibri"/>
        <family val="2"/>
        <scheme val="minor"/>
      </rPr>
      <t>3/</t>
    </r>
  </si>
  <si>
    <t xml:space="preserve">    Revenues</t>
  </si>
  <si>
    <r>
      <t xml:space="preserve">Total Change in Rates </t>
    </r>
    <r>
      <rPr>
        <sz val="10"/>
        <rFont val="Calibri"/>
        <family val="2"/>
        <scheme val="minor"/>
      </rPr>
      <t>(Row 10+11)</t>
    </r>
    <r>
      <rPr>
        <b/>
        <sz val="11"/>
        <rFont val="Calibri"/>
        <family val="2"/>
        <scheme val="minor"/>
      </rPr>
      <t xml:space="preserve"> </t>
    </r>
    <r>
      <rPr>
        <b/>
        <vertAlign val="superscript"/>
        <sz val="11"/>
        <rFont val="Calibri"/>
        <family val="2"/>
        <scheme val="minor"/>
      </rPr>
      <t xml:space="preserve">4/ </t>
    </r>
  </si>
  <si>
    <t>1/ The Ancillary Services forecast has been modified to reflect levels filed in the Errata to BP-14 Final Proposal</t>
  </si>
  <si>
    <t>2/ Use of reserves  in BP-14 included $20 million/yr for rate mitigation.</t>
  </si>
  <si>
    <t>3/ Includes Net Interest Expense, Depreciation/Amortization and Minimum Required Net Revenues</t>
  </si>
  <si>
    <t>4/ Change in rates reflects average across all segments.</t>
  </si>
  <si>
    <t>Change from                        BP-14 to FY 16/17</t>
  </si>
  <si>
    <t>AVG</t>
  </si>
  <si>
    <t>BP-14</t>
  </si>
  <si>
    <t>TRANSMISSION MAINTENANCE</t>
  </si>
  <si>
    <t>CAPITAL RELATED COST</t>
  </si>
  <si>
    <t>BP-14 FP</t>
  </si>
  <si>
    <t>BP-16 IP</t>
  </si>
  <si>
    <t>BP-16</t>
  </si>
  <si>
    <r>
      <t xml:space="preserve">Total Change in Rates </t>
    </r>
    <r>
      <rPr>
        <sz val="10"/>
        <rFont val="Calibri"/>
        <family val="2"/>
        <scheme val="minor"/>
      </rPr>
      <t>(Lines 5+8+13)</t>
    </r>
    <r>
      <rPr>
        <b/>
        <sz val="11"/>
        <rFont val="Calibri"/>
        <family val="2"/>
        <scheme val="minor"/>
      </rPr>
      <t xml:space="preserve"> </t>
    </r>
    <r>
      <rPr>
        <b/>
        <vertAlign val="superscript"/>
        <sz val="11"/>
        <rFont val="Calibri"/>
        <family val="2"/>
        <scheme val="minor"/>
      </rPr>
      <t xml:space="preserve">4/ </t>
    </r>
  </si>
  <si>
    <t>BP-18</t>
  </si>
  <si>
    <t>BP-20</t>
  </si>
  <si>
    <t>BP-22</t>
  </si>
  <si>
    <t>BP-24</t>
  </si>
  <si>
    <t>BP-26</t>
  </si>
  <si>
    <t>BP-28</t>
  </si>
  <si>
    <t>G</t>
  </si>
  <si>
    <t>H</t>
  </si>
  <si>
    <t>I</t>
  </si>
  <si>
    <t>J</t>
  </si>
  <si>
    <t>K</t>
  </si>
  <si>
    <t>L</t>
  </si>
  <si>
    <t>M</t>
  </si>
  <si>
    <t>N</t>
  </si>
  <si>
    <t>$ (Million)</t>
  </si>
  <si>
    <t>Change from                        FY 24/25 to               FY 26/27</t>
  </si>
  <si>
    <t>Change from                        FY 22/23 to              FY 24/25</t>
  </si>
  <si>
    <t>Change from                        FY 20/21 to               FY 22/23</t>
  </si>
  <si>
    <t>Change from                         FY 18/19 to              FY 20/21</t>
  </si>
  <si>
    <t>Change from                        FY 16/17 to               FY 18/19</t>
  </si>
  <si>
    <t>Change from                        FY 26/27 to              FY 28/29</t>
  </si>
  <si>
    <t>CAPITAL FORECAST</t>
  </si>
  <si>
    <t>PIS FORECAST</t>
  </si>
  <si>
    <t>I-5 Upgrade</t>
  </si>
  <si>
    <t>Celilo</t>
  </si>
  <si>
    <t>POWER INFORMATION TECHNOLOGY</t>
  </si>
  <si>
    <t>LGIA PLANT-IN-SERVICE</t>
  </si>
  <si>
    <t>TS CONST (W/AFUDC)</t>
  </si>
  <si>
    <t>RESERVE FINANCING (Reduces Borrowings)</t>
  </si>
  <si>
    <t>TOTAL TRANSMISSION BONDS (Corp+Envir+Const)</t>
  </si>
  <si>
    <t>TOTAL TS CAPITAL (For Rev. Req. not borrowing levels)</t>
  </si>
  <si>
    <t>ENVIRONMENT (For Borrowing)</t>
  </si>
  <si>
    <t>TOTAL CORPORATE - POWER (For Borrowing)</t>
  </si>
  <si>
    <t>FISH &amp; WILDLIFE (for borrowing)</t>
  </si>
  <si>
    <t>TOTAL POWER BONDS (Corp+AFUDC+Direct for Rev. Req)</t>
  </si>
  <si>
    <t>OVERSUPPLY ADMIN - SPLIT FROM TECH. OPS</t>
  </si>
  <si>
    <t>TRANSMISSION CONSTRUCTION BONDS (For Borrowing)</t>
  </si>
  <si>
    <t>POWER AFUDC - Hydro / COE / BOE</t>
  </si>
  <si>
    <t>TS AFUDC - Construction</t>
  </si>
  <si>
    <t>TS AFUDC - Corporate/IT</t>
  </si>
  <si>
    <t>IT POWER APPLICATION SYSTEMS (Charge 100% to Power)</t>
  </si>
  <si>
    <t>Corporate Allocation to Power</t>
  </si>
  <si>
    <t xml:space="preserve">Power IT + Corporate/IT AFUDC </t>
  </si>
  <si>
    <t>Corporate Allocation to Trans</t>
  </si>
  <si>
    <t>Corporate AFUDC for Trans</t>
  </si>
  <si>
    <t>TS CORPORATE W/AFUDC (For Borrowing)</t>
  </si>
  <si>
    <t>Historical</t>
  </si>
  <si>
    <t>BUREAU OF RECLAMATION + AFUDC (for borrowing)</t>
  </si>
  <si>
    <t>CORP OF RECLAMATION + AFUDC (For borrowing)</t>
  </si>
  <si>
    <t>IDAHO ENERGY RESOURCE AUTHORITY</t>
  </si>
  <si>
    <t>MASTER LEASE</t>
  </si>
  <si>
    <t>BP18 RC</t>
  </si>
  <si>
    <t>RESERVES NOT FOR RISK</t>
  </si>
  <si>
    <t>RNFR ANNUAL INTEREST INCOME</t>
  </si>
  <si>
    <t>RESERVES FOR RISK</t>
  </si>
  <si>
    <t>2009-2015 SEGMENTATION STUDY AVERAGES</t>
  </si>
  <si>
    <t xml:space="preserve">         STATION SERVICE</t>
  </si>
  <si>
    <t>KSI ASSET MANAGEMENT</t>
  </si>
  <si>
    <t>KSI LT FINANCE &amp; RATES</t>
  </si>
  <si>
    <t>KSI COM OPERATIONS</t>
  </si>
  <si>
    <r>
      <t xml:space="preserve">WECC/PEAK </t>
    </r>
    <r>
      <rPr>
        <i/>
        <sz val="11"/>
        <color theme="1"/>
        <rFont val="Calibri"/>
        <family val="2"/>
        <scheme val="minor"/>
      </rPr>
      <t>(PART OF TS ENGINEERING)</t>
    </r>
  </si>
  <si>
    <t>TBL INTERNAL GENERAL &amp; ADMINISTRATIVE</t>
  </si>
  <si>
    <t xml:space="preserve">NON BBL ANCILLARY SERVICES LESS GEN INPUT </t>
  </si>
  <si>
    <t>RELIABILITY DEMAND RESPONSE / REDISPATCH (NBBL)</t>
  </si>
  <si>
    <t>IT INFRASTRUCTURE PROJECTS (Hardware / Equipment)</t>
  </si>
  <si>
    <t>Lookups:</t>
  </si>
  <si>
    <t>CONSERVATION ACQUISTN / EE - No longer capitalized</t>
  </si>
  <si>
    <t>POWER AFUDC - Corporate/IT</t>
  </si>
  <si>
    <t>EE/CONSERVATION (for borrowing) - No longer capitalized</t>
  </si>
  <si>
    <t>IT APPLICATION/SYSTEM SUPPORT (Software) - IT CORPT PROJECTS</t>
  </si>
  <si>
    <t>Rate Case BP-18 FP</t>
  </si>
  <si>
    <t>TECHNICAL OPERATIONS (Includes Oversupply Admin &amp; TOP Contracts)</t>
  </si>
  <si>
    <t>TOP CONTRACTS - SPLIT FROM TECH. OPS</t>
  </si>
  <si>
    <t>Gen Inputs Settlement Addition - 3PS Acquisition Expense</t>
  </si>
  <si>
    <t>GENERATION
INTEGRATION</t>
  </si>
  <si>
    <t>SOUTHERN
INTERTIE</t>
  </si>
  <si>
    <t>EASTERN
INTERTIE</t>
  </si>
  <si>
    <t>UTILITY
DELIVERY</t>
  </si>
  <si>
    <t>DSI
DELIVERY</t>
  </si>
  <si>
    <t>ANCILLARY
SERVICES</t>
  </si>
  <si>
    <t>SYNCHRONOUS CONDENSERS</t>
  </si>
  <si>
    <t>TRANSMISSION - Revenue Requirement</t>
  </si>
  <si>
    <t>TRANSMISSION - SEGMENTED REVENUE REQUIREMENT</t>
  </si>
  <si>
    <t>TRANSMISSION - EXPENSE INPUT FILE</t>
  </si>
  <si>
    <r>
      <t xml:space="preserve">STRATEGIC INTEGRATION </t>
    </r>
    <r>
      <rPr>
        <i/>
        <sz val="11"/>
        <color theme="1"/>
        <rFont val="Calibri"/>
        <family val="2"/>
        <scheme val="minor"/>
      </rPr>
      <t>(Previously Energy Imbalance Market - EIM)</t>
    </r>
  </si>
  <si>
    <r>
      <t>REDISPATCH(BBL)</t>
    </r>
    <r>
      <rPr>
        <sz val="11"/>
        <color theme="1"/>
        <rFont val="Calibri"/>
        <family val="2"/>
        <scheme val="minor"/>
      </rPr>
      <t xml:space="preserve"> </t>
    </r>
    <r>
      <rPr>
        <i/>
        <sz val="11"/>
        <color theme="1"/>
        <rFont val="Calibri"/>
        <family val="2"/>
        <scheme val="minor"/>
      </rPr>
      <t>ATTACHMENT M for NT</t>
    </r>
  </si>
  <si>
    <t>KSI's</t>
  </si>
  <si>
    <t>SYNCHRONOUS CONDENSORS (BBL)</t>
  </si>
  <si>
    <r>
      <t xml:space="preserve">TRANSMISSION - </t>
    </r>
    <r>
      <rPr>
        <b/>
        <sz val="14"/>
        <rFont val="Arial"/>
        <family val="2"/>
      </rPr>
      <t>CAPITAL INPUT FILE</t>
    </r>
  </si>
  <si>
    <t>Corp Allocation</t>
  </si>
  <si>
    <t>Reserve Financing</t>
  </si>
  <si>
    <t>FOR REPAYMENT</t>
  </si>
  <si>
    <t>LGIA Capital</t>
  </si>
  <si>
    <t>TRANSMISSION - REPAYMENT INPUT FILE</t>
  </si>
  <si>
    <t>NON-FEDERAL WITHOUT DSR AND LGIA/COI CREDITS</t>
  </si>
  <si>
    <r>
      <t xml:space="preserve">TRANSMISSION - </t>
    </r>
    <r>
      <rPr>
        <b/>
        <sz val="14"/>
        <rFont val="Arial"/>
        <family val="2"/>
      </rPr>
      <t>AFUDC INPUT FILE</t>
    </r>
  </si>
  <si>
    <t>TRANSMISSION - INTEREST INCOME INPUT FILE</t>
  </si>
  <si>
    <t>TRANSMISSION - REVENUE REQUIREMENTS FOR ANCILLARY SERVICES</t>
  </si>
  <si>
    <t>TRANSMISSION - 2018 Segmented Revenue Requirement</t>
  </si>
  <si>
    <r>
      <t>TRANSMISSION -</t>
    </r>
    <r>
      <rPr>
        <b/>
        <sz val="14"/>
        <rFont val="Arial"/>
        <family val="2"/>
      </rPr>
      <t xml:space="preserve"> 2019 Segmented</t>
    </r>
    <r>
      <rPr>
        <sz val="14"/>
        <rFont val="Arial"/>
        <family val="2"/>
      </rPr>
      <t xml:space="preserve"> </t>
    </r>
    <r>
      <rPr>
        <b/>
        <sz val="14"/>
        <rFont val="Arial"/>
        <family val="2"/>
      </rPr>
      <t>Revenue Requirement</t>
    </r>
  </si>
  <si>
    <t>TRANSMISSION CURRENT REVENUE TEST</t>
  </si>
  <si>
    <t>($ thousands)</t>
  </si>
  <si>
    <t>FY 2018</t>
  </si>
  <si>
    <t>FY 2019</t>
  </si>
  <si>
    <t>REVENUES FROM CURRENT RATES</t>
  </si>
  <si>
    <t>TRANSMISSION ACQUISITION &amp; ANCILLARY SERVICES</t>
  </si>
  <si>
    <t>NET REVENUES</t>
  </si>
  <si>
    <t xml:space="preserve">TRANSMISSION CURRENT REVENUE TEST </t>
  </si>
  <si>
    <t>STATEMENT OF CASH FLOWS</t>
  </si>
  <si>
    <t>NON-CASH REVENUES/ACCRUAL REVENUES</t>
  </si>
  <si>
    <t>LGIA</t>
  </si>
  <si>
    <t xml:space="preserve">1/ Line 24 must be greater than or equal to zero, otherwise net revenues </t>
  </si>
  <si>
    <t xml:space="preserve">    will be added so that there are no negative cash flows for the year.</t>
  </si>
  <si>
    <t>Cash flow for interest credit calculation</t>
  </si>
  <si>
    <t>Interest Income from Projected Cash Balances</t>
  </si>
  <si>
    <t>Current Revenue Test</t>
  </si>
  <si>
    <t xml:space="preserve">BPA Transmission </t>
  </si>
  <si>
    <t>QUARTERLY FORECAST - END OF YEAR CASH BALANCE</t>
  </si>
  <si>
    <t>FUNDS HELD FOR OTHERS</t>
  </si>
  <si>
    <t>FHFO ANNUAL INTEREST INCOME</t>
  </si>
  <si>
    <t>credit for end of prior year</t>
  </si>
  <si>
    <t>in-year cash flow (rep study)</t>
  </si>
  <si>
    <t>total credit for first interation</t>
  </si>
  <si>
    <t>TRANSMISSION REVISED REVENUE TEST</t>
  </si>
  <si>
    <t>REVENUES FROM PROPOSED RATES</t>
  </si>
  <si>
    <t xml:space="preserve">TRANSMISSION REVISED REVENUE TEST </t>
  </si>
  <si>
    <t>CASH FLOW ADJUSTMENT (RESERVE)/APPLICATION</t>
  </si>
  <si>
    <t xml:space="preserve">1/ Line 25 must be greater than or equal to zero, otherwise net revenues </t>
  </si>
  <si>
    <t>Revised Revenue Test</t>
  </si>
  <si>
    <t xml:space="preserve">Revised on August 4, 2017 </t>
  </si>
  <si>
    <t xml:space="preserve">The transmission revenue forecast was changed which necessitated replacement of the revised revenue test tables. Updated version reflects the revenues and associated impacts to the income statement and statement of cash flows. </t>
  </si>
  <si>
    <t>The transmission revenue forecast was changed which necessitated replacement of the revised revenue interest income table. Updated version reflects the revenues and associated impacts to interest income.</t>
  </si>
</sst>
</file>

<file path=xl/styles.xml><?xml version="1.0" encoding="utf-8"?>
<styleSheet xmlns="http://schemas.openxmlformats.org/spreadsheetml/2006/main" xmlns:mc="http://schemas.openxmlformats.org/markup-compatibility/2006" xmlns:x14ac="http://schemas.microsoft.com/office/spreadsheetml/2009/9/ac" mc:Ignorable="x14ac">
  <numFmts count="25">
    <numFmt numFmtId="5" formatCode="&quot;$&quot;#,##0_);\(&quot;$&quot;#,##0\)"/>
    <numFmt numFmtId="6" formatCode="&quot;$&quot;#,##0_);[Red]\(&quot;$&quot;#,##0\)"/>
    <numFmt numFmtId="41" formatCode="_(* #,##0_);_(* \(#,##0\);_(* &quot;-&quot;_);_(@_)"/>
    <numFmt numFmtId="44" formatCode="_(&quot;$&quot;* #,##0.00_);_(&quot;$&quot;* \(#,##0.00\);_(&quot;$&quot;* &quot;-&quot;??_);_(@_)"/>
    <numFmt numFmtId="43" formatCode="_(* #,##0.00_);_(* \(#,##0.00\);_(* &quot;-&quot;??_);_(@_)"/>
    <numFmt numFmtId="164" formatCode="_(* #,##0.00000_);_(* \(#,##0.00000\);_(* &quot;-&quot;??_);_(@_)"/>
    <numFmt numFmtId="165" formatCode="_(* #,##0.0_);_(* \(#,##0.0\);_(* &quot;-&quot;_);_(@_)"/>
    <numFmt numFmtId="166" formatCode="0.000000"/>
    <numFmt numFmtId="167" formatCode="d\.mmm\.yy"/>
    <numFmt numFmtId="168" formatCode="0.00_)"/>
    <numFmt numFmtId="169" formatCode="0.0_)\%;\(0.0\)\%;0.0_)\%;@_)_%"/>
    <numFmt numFmtId="170" formatCode="#,##0.0_)_%;\(#,##0.0\)_%;0.0_)_%;@_)_%"/>
    <numFmt numFmtId="171" formatCode="#,##0.0_);\(#,##0.0\);#,##0.0_);@_)"/>
    <numFmt numFmtId="172" formatCode="&quot;$&quot;_(#,##0.00_);&quot;$&quot;\(#,##0.00\);&quot;$&quot;_(0.00_);@_)"/>
    <numFmt numFmtId="173" formatCode="#,##0.00_);\(#,##0.00\);0.00_);@_)"/>
    <numFmt numFmtId="174" formatCode="\€_(#,##0.00_);\€\(#,##0.00\);\€_(0.00_);@_)"/>
    <numFmt numFmtId="175" formatCode="#,##0.0_)\x;\(#,##0.0\)\x;0.0_)\x;@_)_x"/>
    <numFmt numFmtId="176" formatCode="#,##0.0_)_x;\(#,##0.0\)_x;0.0_)_x;@_)_x"/>
    <numFmt numFmtId="177" formatCode="_(* #,##0.00_);\(* #,##0.00\);_(* &quot;-&quot;??_);_(@_)"/>
    <numFmt numFmtId="178" formatCode="0.000%;;"/>
    <numFmt numFmtId="179" formatCode="_(* #,##0_);_(* \(#,##0\);_(* &quot;-&quot;??_);_(@_)"/>
    <numFmt numFmtId="180" formatCode="_(* #,##0.0000_);_(* \(#,##0.0000\);_(* &quot;-&quot;??_);_(@_)"/>
    <numFmt numFmtId="181" formatCode="_(* #,##0.0_);_(* \(#,##0.0\);_(* &quot;-&quot;??_);_(@_)"/>
    <numFmt numFmtId="182" formatCode="0.0%"/>
    <numFmt numFmtId="183" formatCode="0.0"/>
  </numFmts>
  <fonts count="143">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0"/>
      <name val="Arial"/>
      <family val="2"/>
    </font>
    <font>
      <b/>
      <sz val="10"/>
      <name val="MS Sans Serif"/>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1"/>
      <color indexed="8"/>
      <name val="Calibri"/>
      <family val="2"/>
    </font>
    <font>
      <sz val="11"/>
      <color indexed="10"/>
      <name val="Calibri"/>
      <family val="2"/>
    </font>
    <font>
      <sz val="10"/>
      <color indexed="8"/>
      <name val="MS Sans Serif"/>
      <family val="2"/>
    </font>
    <font>
      <sz val="10"/>
      <name val="Tahoma"/>
      <family val="2"/>
    </font>
    <font>
      <sz val="10"/>
      <name val="Helv"/>
    </font>
    <font>
      <sz val="10"/>
      <name val="MS Serif"/>
      <family val="1"/>
    </font>
    <font>
      <sz val="10"/>
      <name val="Courier"/>
      <family val="3"/>
    </font>
    <font>
      <sz val="12"/>
      <color indexed="24"/>
      <name val="Arial"/>
      <family val="2"/>
    </font>
    <font>
      <b/>
      <sz val="12"/>
      <name val="Arial"/>
      <family val="2"/>
    </font>
    <font>
      <b/>
      <sz val="15"/>
      <color indexed="62"/>
      <name val="Calibri"/>
      <family val="2"/>
    </font>
    <font>
      <b/>
      <sz val="11"/>
      <color indexed="62"/>
      <name val="Calibri"/>
      <family val="2"/>
    </font>
    <font>
      <sz val="10"/>
      <color indexed="12"/>
      <name val="Arial"/>
      <family val="2"/>
    </font>
    <font>
      <sz val="7"/>
      <name val="Small Fonts"/>
      <family val="2"/>
    </font>
    <font>
      <b/>
      <i/>
      <sz val="16"/>
      <name val="Helv"/>
    </font>
    <font>
      <sz val="10"/>
      <name val="MS Sans Serif"/>
      <family val="2"/>
    </font>
    <font>
      <sz val="8"/>
      <name val="Helv"/>
    </font>
    <font>
      <b/>
      <sz val="8"/>
      <color indexed="8"/>
      <name val="Helv"/>
    </font>
    <font>
      <b/>
      <sz val="18"/>
      <color indexed="62"/>
      <name val="Cambria"/>
      <family val="2"/>
    </font>
    <font>
      <b/>
      <sz val="14"/>
      <color indexed="56"/>
      <name val="Arial"/>
      <family val="2"/>
    </font>
    <font>
      <u/>
      <sz val="10"/>
      <color indexed="12"/>
      <name val="Arial"/>
      <family val="2"/>
    </font>
    <font>
      <b/>
      <sz val="18"/>
      <color indexed="56"/>
      <name val="Cambria"/>
      <family val="2"/>
    </font>
    <font>
      <sz val="10"/>
      <color indexed="10"/>
      <name val="Arial"/>
      <family val="2"/>
    </font>
    <font>
      <b/>
      <sz val="10"/>
      <color indexed="9"/>
      <name val="Arial"/>
      <family val="2"/>
    </font>
    <font>
      <sz val="10"/>
      <color indexed="9"/>
      <name val="Arial"/>
      <family val="2"/>
    </font>
    <font>
      <b/>
      <sz val="10"/>
      <color indexed="8"/>
      <name val="Arial"/>
      <family val="2"/>
    </font>
    <font>
      <b/>
      <sz val="14"/>
      <color indexed="18"/>
      <name val="Arial"/>
      <family val="2"/>
    </font>
    <font>
      <sz val="10"/>
      <color indexed="8"/>
      <name val="Arial"/>
      <family val="2"/>
    </font>
    <font>
      <b/>
      <sz val="22"/>
      <color indexed="18"/>
      <name val="Arial"/>
      <family val="2"/>
    </font>
    <font>
      <sz val="9"/>
      <color indexed="8"/>
      <name val="Arial"/>
      <family val="2"/>
    </font>
    <font>
      <b/>
      <sz val="10"/>
      <color indexed="18"/>
      <name val="Arial"/>
      <family val="2"/>
    </font>
    <font>
      <b/>
      <u val="singleAccounting"/>
      <sz val="10"/>
      <color indexed="18"/>
      <name val="Arial"/>
      <family val="2"/>
    </font>
    <font>
      <sz val="11"/>
      <color indexed="11"/>
      <name val="Calibri"/>
      <family val="2"/>
    </font>
    <font>
      <sz val="10"/>
      <color indexed="20"/>
      <name val="Arial"/>
      <family val="2"/>
    </font>
    <font>
      <sz val="11"/>
      <color indexed="36"/>
      <name val="Calibri"/>
      <family val="2"/>
    </font>
    <font>
      <b/>
      <sz val="10"/>
      <color indexed="52"/>
      <name val="Arial"/>
      <family val="2"/>
    </font>
    <font>
      <b/>
      <sz val="11"/>
      <color indexed="11"/>
      <name val="Calibri"/>
      <family val="2"/>
    </font>
    <font>
      <sz val="8"/>
      <name val="Palatino"/>
      <family val="1"/>
    </font>
    <font>
      <b/>
      <sz val="10"/>
      <name val="Arial Unicode MS"/>
      <family val="2"/>
    </font>
    <font>
      <i/>
      <sz val="10"/>
      <color indexed="23"/>
      <name val="Arial"/>
      <family val="2"/>
    </font>
    <font>
      <i/>
      <sz val="11"/>
      <color indexed="55"/>
      <name val="Calibri"/>
      <family val="2"/>
    </font>
    <font>
      <sz val="8"/>
      <name val="Times New Roman"/>
      <family val="1"/>
    </font>
    <font>
      <sz val="10"/>
      <color indexed="17"/>
      <name val="Arial"/>
      <family val="2"/>
    </font>
    <font>
      <sz val="11"/>
      <color indexed="58"/>
      <name val="Calibri"/>
      <family val="2"/>
    </font>
    <font>
      <sz val="6"/>
      <color indexed="16"/>
      <name val="Palatino"/>
      <family val="1"/>
    </font>
    <font>
      <b/>
      <sz val="15"/>
      <color indexed="56"/>
      <name val="Arial"/>
      <family val="2"/>
    </font>
    <font>
      <b/>
      <sz val="15"/>
      <color indexed="21"/>
      <name val="Calibri"/>
      <family val="2"/>
    </font>
    <font>
      <b/>
      <sz val="13"/>
      <color indexed="56"/>
      <name val="Arial"/>
      <family val="2"/>
    </font>
    <font>
      <b/>
      <sz val="13"/>
      <color indexed="21"/>
      <name val="Calibri"/>
      <family val="2"/>
    </font>
    <font>
      <b/>
      <sz val="11"/>
      <color indexed="56"/>
      <name val="Arial"/>
      <family val="2"/>
    </font>
    <font>
      <b/>
      <sz val="11"/>
      <color indexed="21"/>
      <name val="Calibri"/>
      <family val="2"/>
    </font>
    <font>
      <u/>
      <sz val="11"/>
      <color indexed="12"/>
      <name val="Calibri"/>
      <family val="2"/>
    </font>
    <font>
      <sz val="10"/>
      <color indexed="62"/>
      <name val="Arial"/>
      <family val="2"/>
    </font>
    <font>
      <sz val="10"/>
      <color indexed="52"/>
      <name val="Arial"/>
      <family val="2"/>
    </font>
    <font>
      <sz val="10"/>
      <color indexed="60"/>
      <name val="Arial"/>
      <family val="2"/>
    </font>
    <font>
      <sz val="10"/>
      <name val="Arial Unicode MS"/>
      <family val="2"/>
    </font>
    <font>
      <b/>
      <sz val="10"/>
      <color indexed="63"/>
      <name val="Arial"/>
      <family val="2"/>
    </font>
    <font>
      <sz val="10"/>
      <color indexed="16"/>
      <name val="Helvetica-Black"/>
    </font>
    <font>
      <sz val="8"/>
      <color indexed="8"/>
      <name val="Times New Roman"/>
      <family val="1"/>
    </font>
    <font>
      <b/>
      <i/>
      <sz val="10"/>
      <name val="Times New Roman"/>
      <family val="1"/>
    </font>
    <font>
      <b/>
      <sz val="9"/>
      <name val="Palatino"/>
      <family val="1"/>
    </font>
    <font>
      <sz val="9"/>
      <color indexed="21"/>
      <name val="Helvetica-Black"/>
    </font>
    <font>
      <b/>
      <sz val="9"/>
      <name val="Arial"/>
      <family val="2"/>
    </font>
    <font>
      <b/>
      <sz val="18"/>
      <color indexed="21"/>
      <name val="Cambria"/>
      <family val="2"/>
    </font>
    <font>
      <u/>
      <sz val="10"/>
      <color theme="10"/>
      <name val="Arial"/>
      <family val="2"/>
    </font>
    <font>
      <b/>
      <sz val="14"/>
      <name val="Arial"/>
      <family val="2"/>
    </font>
    <font>
      <sz val="12"/>
      <name val="Times New Roman"/>
      <family val="1"/>
    </font>
    <font>
      <u/>
      <sz val="11"/>
      <color theme="10"/>
      <name val="Calibri"/>
      <family val="2"/>
      <scheme val="minor"/>
    </font>
    <font>
      <sz val="14"/>
      <name val="Arial"/>
      <family val="2"/>
    </font>
    <font>
      <b/>
      <sz val="10"/>
      <color theme="1"/>
      <name val="Arial"/>
      <family val="2"/>
    </font>
    <font>
      <u/>
      <sz val="11"/>
      <color theme="1"/>
      <name val="Calibri"/>
      <family val="2"/>
      <scheme val="minor"/>
    </font>
    <font>
      <sz val="10"/>
      <color indexed="8"/>
      <name val="Arial"/>
      <family val="2"/>
    </font>
    <font>
      <i/>
      <sz val="11"/>
      <color theme="1"/>
      <name val="Calibri"/>
      <family val="2"/>
      <scheme val="minor"/>
    </font>
    <font>
      <b/>
      <sz val="9"/>
      <color indexed="81"/>
      <name val="Tahoma"/>
      <family val="2"/>
    </font>
    <font>
      <u/>
      <sz val="10"/>
      <name val="Arial"/>
      <family val="2"/>
    </font>
    <font>
      <sz val="10"/>
      <color theme="1"/>
      <name val="Calibri"/>
      <family val="2"/>
      <scheme val="minor"/>
    </font>
    <font>
      <sz val="11"/>
      <name val="Calibri"/>
      <family val="2"/>
      <scheme val="minor"/>
    </font>
    <font>
      <b/>
      <sz val="10"/>
      <color theme="1"/>
      <name val="Calibri"/>
      <family val="2"/>
      <scheme val="minor"/>
    </font>
    <font>
      <i/>
      <sz val="10"/>
      <color theme="1"/>
      <name val="Calibri"/>
      <family val="2"/>
      <scheme val="minor"/>
    </font>
    <font>
      <sz val="10"/>
      <name val="Calibri"/>
      <family val="2"/>
      <scheme val="minor"/>
    </font>
    <font>
      <sz val="14"/>
      <name val="Calibri"/>
      <family val="2"/>
      <scheme val="minor"/>
    </font>
    <font>
      <b/>
      <sz val="14"/>
      <name val="Calibri"/>
      <family val="2"/>
      <scheme val="minor"/>
    </font>
    <font>
      <b/>
      <sz val="10"/>
      <name val="Calibri"/>
      <family val="2"/>
      <scheme val="minor"/>
    </font>
    <font>
      <u/>
      <sz val="10"/>
      <name val="Calibri"/>
      <family val="2"/>
      <scheme val="minor"/>
    </font>
    <font>
      <b/>
      <sz val="11"/>
      <name val="Calibri"/>
      <family val="2"/>
      <scheme val="minor"/>
    </font>
    <font>
      <b/>
      <u/>
      <sz val="11"/>
      <color theme="1"/>
      <name val="Calibri"/>
      <family val="2"/>
      <scheme val="minor"/>
    </font>
    <font>
      <sz val="9"/>
      <color indexed="81"/>
      <name val="Tahoma"/>
      <family val="2"/>
    </font>
    <font>
      <vertAlign val="superscript"/>
      <sz val="11"/>
      <name val="Calibri"/>
      <family val="2"/>
      <scheme val="minor"/>
    </font>
    <font>
      <b/>
      <vertAlign val="superscript"/>
      <sz val="11"/>
      <name val="Calibri"/>
      <family val="2"/>
      <scheme val="minor"/>
    </font>
    <font>
      <b/>
      <sz val="8"/>
      <color theme="1"/>
      <name val="Calibri"/>
      <family val="2"/>
      <scheme val="minor"/>
    </font>
    <font>
      <sz val="8"/>
      <color theme="1"/>
      <name val="Calibri"/>
      <family val="2"/>
      <scheme val="minor"/>
    </font>
    <font>
      <sz val="10"/>
      <name val="Times New Roman"/>
      <family val="1"/>
    </font>
    <font>
      <u/>
      <sz val="11"/>
      <name val="Calibri"/>
      <family val="2"/>
      <scheme val="minor"/>
    </font>
    <font>
      <sz val="10"/>
      <name val="Arial"/>
      <family val="2"/>
    </font>
    <font>
      <sz val="10"/>
      <color indexed="63"/>
      <name val="Verdana"/>
      <family val="2"/>
    </font>
    <font>
      <sz val="10"/>
      <color indexed="8"/>
      <name val="Verdana"/>
      <family val="2"/>
    </font>
    <font>
      <b/>
      <sz val="10"/>
      <color indexed="9"/>
      <name val="Verdana"/>
      <family val="2"/>
    </font>
    <font>
      <b/>
      <sz val="10"/>
      <color indexed="63"/>
      <name val="Verdana"/>
      <family val="2"/>
    </font>
    <font>
      <i/>
      <sz val="11"/>
      <name val="Calibri"/>
      <family val="2"/>
      <scheme val="minor"/>
    </font>
    <font>
      <b/>
      <sz val="12"/>
      <name val="Calibri"/>
      <family val="2"/>
      <scheme val="minor"/>
    </font>
    <font>
      <b/>
      <i/>
      <sz val="11"/>
      <name val="Calibri"/>
      <family val="2"/>
      <scheme val="minor"/>
    </font>
    <font>
      <i/>
      <sz val="11"/>
      <color theme="0" tint="-0.249977111117893"/>
      <name val="Calibri"/>
      <family val="2"/>
      <scheme val="minor"/>
    </font>
    <font>
      <i/>
      <sz val="11"/>
      <color theme="0" tint="-0.34998626667073579"/>
      <name val="Calibri"/>
      <family val="2"/>
      <scheme val="minor"/>
    </font>
    <font>
      <b/>
      <i/>
      <sz val="11"/>
      <color theme="0" tint="-0.34998626667073579"/>
      <name val="Calibri"/>
      <family val="2"/>
      <scheme val="minor"/>
    </font>
    <font>
      <b/>
      <u/>
      <sz val="11"/>
      <name val="Calibri"/>
      <family val="2"/>
      <scheme val="minor"/>
    </font>
    <font>
      <b/>
      <sz val="10"/>
      <color rgb="FFFF0000"/>
      <name val="Arial"/>
      <family val="2"/>
    </font>
    <font>
      <sz val="10"/>
      <color theme="1"/>
      <name val="Arial"/>
      <family val="2"/>
    </font>
    <font>
      <i/>
      <sz val="10"/>
      <name val="Arial"/>
      <family val="2"/>
    </font>
    <font>
      <i/>
      <sz val="10"/>
      <color theme="1"/>
      <name val="Arial"/>
      <family val="2"/>
    </font>
  </fonts>
  <fills count="8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3"/>
      </patternFill>
    </fill>
    <fill>
      <patternFill patternType="solid">
        <fgColor indexed="31"/>
      </patternFill>
    </fill>
    <fill>
      <patternFill patternType="solid">
        <fgColor indexed="55"/>
      </patternFill>
    </fill>
    <fill>
      <patternFill patternType="solid">
        <fgColor indexed="17"/>
      </patternFill>
    </fill>
    <fill>
      <patternFill patternType="solid">
        <fgColor indexed="45"/>
      </patternFill>
    </fill>
    <fill>
      <patternFill patternType="solid">
        <fgColor indexed="47"/>
      </patternFill>
    </fill>
    <fill>
      <patternFill patternType="solid">
        <fgColor indexed="42"/>
      </patternFill>
    </fill>
    <fill>
      <patternFill patternType="solid">
        <fgColor indexed="26"/>
      </patternFill>
    </fill>
    <fill>
      <patternFill patternType="solid">
        <fgColor indexed="46"/>
      </patternFill>
    </fill>
    <fill>
      <patternFill patternType="solid">
        <fgColor indexed="27"/>
      </patternFill>
    </fill>
    <fill>
      <patternFill patternType="solid">
        <fgColor indexed="13"/>
      </patternFill>
    </fill>
    <fill>
      <patternFill patternType="solid">
        <fgColor indexed="44"/>
      </patternFill>
    </fill>
    <fill>
      <patternFill patternType="solid">
        <fgColor indexed="22"/>
      </patternFill>
    </fill>
    <fill>
      <patternFill patternType="solid">
        <fgColor indexed="1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49"/>
      </patternFill>
    </fill>
    <fill>
      <patternFill patternType="solid">
        <fgColor indexed="36"/>
      </patternFill>
    </fill>
    <fill>
      <patternFill patternType="solid">
        <fgColor indexed="52"/>
      </patternFill>
    </fill>
    <fill>
      <patternFill patternType="solid">
        <fgColor indexed="20"/>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mediumGray">
        <fgColor indexed="22"/>
      </patternFill>
    </fill>
    <fill>
      <patternFill patternType="gray0625">
        <fgColor indexed="8"/>
      </patternFill>
    </fill>
    <fill>
      <patternFill patternType="gray125">
        <fgColor indexed="8"/>
      </patternFill>
    </fill>
    <fill>
      <patternFill patternType="solid">
        <fgColor indexed="16"/>
        <bgColor indexed="64"/>
      </patternFill>
    </fill>
    <fill>
      <patternFill patternType="solid">
        <fgColor indexed="8"/>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2"/>
        <bgColor indexed="64"/>
      </patternFill>
    </fill>
    <fill>
      <patternFill patternType="solid">
        <fgColor indexed="61"/>
        <bgColor indexed="64"/>
      </patternFill>
    </fill>
    <fill>
      <patternFill patternType="solid">
        <fgColor indexed="60"/>
        <bgColor indexed="64"/>
      </patternFill>
    </fill>
    <fill>
      <patternFill patternType="solid">
        <fgColor indexed="59"/>
        <bgColor indexed="64"/>
      </patternFill>
    </fill>
    <fill>
      <patternFill patternType="solid">
        <fgColor indexed="63"/>
        <bgColor indexed="64"/>
      </patternFill>
    </fill>
    <fill>
      <patternFill patternType="solid">
        <fgColor theme="0" tint="-0.249977111117893"/>
        <bgColor indexed="64"/>
      </patternFill>
    </fill>
  </fills>
  <borders count="6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hair">
        <color indexed="8"/>
      </top>
      <bottom style="hair">
        <color indexed="8"/>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thin">
        <color indexed="55"/>
      </left>
      <right style="thin">
        <color indexed="55"/>
      </right>
      <top style="thin">
        <color indexed="55"/>
      </top>
      <bottom style="thin">
        <color indexed="55"/>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49"/>
      </bottom>
      <diagonal/>
    </border>
    <border>
      <left/>
      <right/>
      <top/>
      <bottom style="thick">
        <color indexed="22"/>
      </bottom>
      <diagonal/>
    </border>
    <border>
      <left/>
      <right/>
      <top/>
      <bottom style="thick">
        <color indexed="16"/>
      </bottom>
      <diagonal/>
    </border>
    <border>
      <left/>
      <right/>
      <top/>
      <bottom style="medium">
        <color indexed="30"/>
      </bottom>
      <diagonal/>
    </border>
    <border>
      <left/>
      <right/>
      <top/>
      <bottom style="medium">
        <color indexed="49"/>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double">
        <color indexed="52"/>
      </bottom>
      <diagonal/>
    </border>
    <border>
      <left/>
      <right style="hair">
        <color indexed="64"/>
      </right>
      <top/>
      <bottom style="thin">
        <color indexed="64"/>
      </bottom>
      <diagonal/>
    </border>
    <border>
      <left/>
      <right style="hair">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style="hair">
        <color indexed="64"/>
      </top>
      <bottom/>
      <diagonal/>
    </border>
    <border>
      <left/>
      <right/>
      <top style="thin">
        <color indexed="64"/>
      </top>
      <bottom/>
      <diagonal/>
    </border>
    <border>
      <left/>
      <right/>
      <top/>
      <bottom style="thin">
        <color indexed="64"/>
      </bottom>
      <diagonal/>
    </border>
    <border>
      <left/>
      <right/>
      <top style="thin">
        <color indexed="62"/>
      </top>
      <bottom style="double">
        <color indexed="62"/>
      </bottom>
      <diagonal/>
    </border>
    <border>
      <left/>
      <right/>
      <top style="thin">
        <color indexed="49"/>
      </top>
      <bottom style="double">
        <color indexed="49"/>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ouble">
        <color indexed="52"/>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medium">
        <color indexed="64"/>
      </bottom>
      <diagonal/>
    </border>
    <border>
      <left style="thin">
        <color indexed="9"/>
      </left>
      <right style="thin">
        <color indexed="9"/>
      </right>
      <top style="thin">
        <color indexed="9"/>
      </top>
      <bottom style="thin">
        <color indexed="9"/>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s>
  <cellStyleXfs count="2405">
    <xf numFmtId="0" fontId="0" fillId="0" borderId="0"/>
    <xf numFmtId="0" fontId="18" fillId="0" borderId="0"/>
    <xf numFmtId="169" fontId="22" fillId="0" borderId="0" applyFont="0" applyFill="0" applyBorder="0" applyAlignment="0" applyProtection="0"/>
    <xf numFmtId="170" fontId="22" fillId="0" borderId="0" applyFont="0" applyFill="0" applyBorder="0" applyAlignment="0" applyProtection="0"/>
    <xf numFmtId="166" fontId="21" fillId="0" borderId="0">
      <alignment horizontal="left" wrapText="1"/>
    </xf>
    <xf numFmtId="171" fontId="22" fillId="0" borderId="0" applyFont="0" applyFill="0" applyBorder="0" applyAlignment="0" applyProtection="0"/>
    <xf numFmtId="164" fontId="21" fillId="0" borderId="0">
      <alignment horizontal="left" wrapText="1"/>
    </xf>
    <xf numFmtId="166" fontId="21" fillId="0" borderId="0">
      <alignment horizontal="left" wrapText="1"/>
    </xf>
    <xf numFmtId="172" fontId="22" fillId="0" borderId="0" applyFont="0" applyFill="0" applyBorder="0" applyAlignment="0" applyProtection="0"/>
    <xf numFmtId="173" fontId="22" fillId="0" borderId="0" applyFont="0" applyFill="0" applyBorder="0" applyAlignment="0" applyProtection="0"/>
    <xf numFmtId="174" fontId="22" fillId="0" borderId="0" applyFont="0" applyFill="0" applyBorder="0" applyAlignment="0" applyProtection="0"/>
    <xf numFmtId="166" fontId="21" fillId="0" borderId="0">
      <alignment horizontal="left" wrapText="1"/>
    </xf>
    <xf numFmtId="0" fontId="62" fillId="0" borderId="0" applyNumberFormat="0" applyFill="0" applyBorder="0" applyAlignment="0" applyProtection="0"/>
    <xf numFmtId="38" fontId="22" fillId="33" borderId="0" applyNumberFormat="0" applyFont="0" applyAlignment="0" applyProtection="0"/>
    <xf numFmtId="175" fontId="22" fillId="0" borderId="0" applyFont="0" applyFill="0" applyBorder="0" applyAlignment="0" applyProtection="0"/>
    <xf numFmtId="176" fontId="22" fillId="0" borderId="0" applyFont="0" applyFill="0" applyBorder="0" applyProtection="0">
      <alignment horizontal="right"/>
    </xf>
    <xf numFmtId="164" fontId="21" fillId="0" borderId="0">
      <alignment horizontal="left" wrapText="1"/>
    </xf>
    <xf numFmtId="166" fontId="21" fillId="0" borderId="0">
      <alignment horizontal="left" wrapText="1"/>
    </xf>
    <xf numFmtId="0" fontId="60" fillId="0" borderId="0" applyNumberFormat="0" applyFill="0" applyBorder="0" applyProtection="0">
      <alignment vertical="top"/>
    </xf>
    <xf numFmtId="38" fontId="63" fillId="0" borderId="10" applyNumberFormat="0" applyFill="0" applyAlignment="0" applyProtection="0"/>
    <xf numFmtId="38" fontId="63" fillId="0" borderId="10" applyNumberFormat="0" applyFill="0" applyAlignment="0" applyProtection="0"/>
    <xf numFmtId="38" fontId="64" fillId="0" borderId="11" applyNumberFormat="0" applyFill="0" applyProtection="0">
      <alignment horizontal="center"/>
    </xf>
    <xf numFmtId="38" fontId="64" fillId="0" borderId="11" applyNumberFormat="0" applyFill="0" applyProtection="0">
      <alignment horizontal="center"/>
    </xf>
    <xf numFmtId="38" fontId="64" fillId="0" borderId="0" applyNumberFormat="0" applyFill="0" applyBorder="0" applyProtection="0">
      <alignment horizontal="left"/>
    </xf>
    <xf numFmtId="38" fontId="65" fillId="0" borderId="0" applyNumberFormat="0" applyFill="0" applyBorder="0" applyProtection="0">
      <alignment horizontal="centerContinuous"/>
    </xf>
    <xf numFmtId="164" fontId="21" fillId="0" borderId="0">
      <alignment horizontal="left" wrapText="1"/>
    </xf>
    <xf numFmtId="0" fontId="24" fillId="35" borderId="0" applyNumberFormat="0" applyBorder="0" applyAlignment="0" applyProtection="0"/>
    <xf numFmtId="0" fontId="24" fillId="35" borderId="0" applyNumberFormat="0" applyBorder="0" applyAlignment="0" applyProtection="0"/>
    <xf numFmtId="0" fontId="25" fillId="36" borderId="0" applyNumberFormat="0" applyBorder="0" applyAlignment="0" applyProtection="0"/>
    <xf numFmtId="0" fontId="24" fillId="35" borderId="0" applyNumberFormat="0" applyBorder="0" applyAlignment="0" applyProtection="0"/>
    <xf numFmtId="0" fontId="61" fillId="34" borderId="0" applyNumberFormat="0" applyBorder="0" applyAlignment="0" applyProtection="0"/>
    <xf numFmtId="0" fontId="24" fillId="35" borderId="0" applyNumberFormat="0" applyBorder="0" applyAlignment="0" applyProtection="0"/>
    <xf numFmtId="0" fontId="25" fillId="36" borderId="0" applyNumberFormat="0" applyBorder="0" applyAlignment="0" applyProtection="0"/>
    <xf numFmtId="0" fontId="25" fillId="36" borderId="0" applyNumberFormat="0" applyBorder="0" applyAlignment="0" applyProtection="0"/>
    <xf numFmtId="0" fontId="61" fillId="34" borderId="0" applyNumberFormat="0" applyBorder="0" applyAlignment="0" applyProtection="0"/>
    <xf numFmtId="0" fontId="61" fillId="34" borderId="0" applyNumberFormat="0" applyBorder="0" applyAlignment="0" applyProtection="0"/>
    <xf numFmtId="0" fontId="61" fillId="34"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4" fillId="38" borderId="0" applyNumberFormat="0" applyBorder="0" applyAlignment="0" applyProtection="0"/>
    <xf numFmtId="0" fontId="61" fillId="37"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61" fillId="37" borderId="0" applyNumberFormat="0" applyBorder="0" applyAlignment="0" applyProtection="0"/>
    <xf numFmtId="0" fontId="61" fillId="37" borderId="0" applyNumberFormat="0" applyBorder="0" applyAlignment="0" applyProtection="0"/>
    <xf numFmtId="0" fontId="61" fillId="37" borderId="0" applyNumberFormat="0" applyBorder="0" applyAlignment="0" applyProtection="0"/>
    <xf numFmtId="0" fontId="24" fillId="40" borderId="0" applyNumberFormat="0" applyBorder="0" applyAlignment="0" applyProtection="0"/>
    <xf numFmtId="0" fontId="24" fillId="40" borderId="0" applyNumberFormat="0" applyBorder="0" applyAlignment="0" applyProtection="0"/>
    <xf numFmtId="0" fontId="25" fillId="40" borderId="0" applyNumberFormat="0" applyBorder="0" applyAlignment="0" applyProtection="0"/>
    <xf numFmtId="0" fontId="24" fillId="40" borderId="0" applyNumberFormat="0" applyBorder="0" applyAlignment="0" applyProtection="0"/>
    <xf numFmtId="0" fontId="61" fillId="39" borderId="0" applyNumberFormat="0" applyBorder="0" applyAlignment="0" applyProtection="0"/>
    <xf numFmtId="0" fontId="24" fillId="40" borderId="0" applyNumberFormat="0" applyBorder="0" applyAlignment="0" applyProtection="0"/>
    <xf numFmtId="0" fontId="25" fillId="40" borderId="0" applyNumberFormat="0" applyBorder="0" applyAlignment="0" applyProtection="0"/>
    <xf numFmtId="0" fontId="25" fillId="40" borderId="0" applyNumberFormat="0" applyBorder="0" applyAlignment="0" applyProtection="0"/>
    <xf numFmtId="0" fontId="61" fillId="39" borderId="0" applyNumberFormat="0" applyBorder="0" applyAlignment="0" applyProtection="0"/>
    <xf numFmtId="0" fontId="61" fillId="39" borderId="0" applyNumberFormat="0" applyBorder="0" applyAlignment="0" applyProtection="0"/>
    <xf numFmtId="0" fontId="61" fillId="39"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5" fillId="36" borderId="0" applyNumberFormat="0" applyBorder="0" applyAlignment="0" applyProtection="0"/>
    <xf numFmtId="0" fontId="24" fillId="35" borderId="0" applyNumberFormat="0" applyBorder="0" applyAlignment="0" applyProtection="0"/>
    <xf numFmtId="0" fontId="61" fillId="41" borderId="0" applyNumberFormat="0" applyBorder="0" applyAlignment="0" applyProtection="0"/>
    <xf numFmtId="0" fontId="24" fillId="35" borderId="0" applyNumberFormat="0" applyBorder="0" applyAlignment="0" applyProtection="0"/>
    <xf numFmtId="0" fontId="25" fillId="36" borderId="0" applyNumberFormat="0" applyBorder="0" applyAlignment="0" applyProtection="0"/>
    <xf numFmtId="0" fontId="25" fillId="36" borderId="0" applyNumberFormat="0" applyBorder="0" applyAlignment="0" applyProtection="0"/>
    <xf numFmtId="0" fontId="61" fillId="41" borderId="0" applyNumberFormat="0" applyBorder="0" applyAlignment="0" applyProtection="0"/>
    <xf numFmtId="0" fontId="61" fillId="41" borderId="0" applyNumberFormat="0" applyBorder="0" applyAlignment="0" applyProtection="0"/>
    <xf numFmtId="0" fontId="61" fillId="41"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5" fillId="43" borderId="0" applyNumberFormat="0" applyBorder="0" applyAlignment="0" applyProtection="0"/>
    <xf numFmtId="0" fontId="24" fillId="42" borderId="0" applyNumberFormat="0" applyBorder="0" applyAlignment="0" applyProtection="0"/>
    <xf numFmtId="0" fontId="61" fillId="42" borderId="0" applyNumberFormat="0" applyBorder="0" applyAlignment="0" applyProtection="0"/>
    <xf numFmtId="0" fontId="24" fillId="42"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61" fillId="42" borderId="0" applyNumberFormat="0" applyBorder="0" applyAlignment="0" applyProtection="0"/>
    <xf numFmtId="0" fontId="61" fillId="42" borderId="0" applyNumberFormat="0" applyBorder="0" applyAlignment="0" applyProtection="0"/>
    <xf numFmtId="0" fontId="61" fillId="42"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4" fillId="38" borderId="0" applyNumberFormat="0" applyBorder="0" applyAlignment="0" applyProtection="0"/>
    <xf numFmtId="0" fontId="61" fillId="38"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61" fillId="38" borderId="0" applyNumberFormat="0" applyBorder="0" applyAlignment="0" applyProtection="0"/>
    <xf numFmtId="0" fontId="61" fillId="38" borderId="0" applyNumberFormat="0" applyBorder="0" applyAlignment="0" applyProtection="0"/>
    <xf numFmtId="0" fontId="61" fillId="38"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5" fillId="46" borderId="0" applyNumberFormat="0" applyBorder="0" applyAlignment="0" applyProtection="0"/>
    <xf numFmtId="0" fontId="24" fillId="45" borderId="0" applyNumberFormat="0" applyBorder="0" applyAlignment="0" applyProtection="0"/>
    <xf numFmtId="0" fontId="61" fillId="44" borderId="0" applyNumberFormat="0" applyBorder="0" applyAlignment="0" applyProtection="0"/>
    <xf numFmtId="0" fontId="24" fillId="45" borderId="0" applyNumberFormat="0" applyBorder="0" applyAlignment="0" applyProtection="0"/>
    <xf numFmtId="0" fontId="25" fillId="46" borderId="0" applyNumberFormat="0" applyBorder="0" applyAlignment="0" applyProtection="0"/>
    <xf numFmtId="0" fontId="25" fillId="46" borderId="0" applyNumberFormat="0" applyBorder="0" applyAlignment="0" applyProtection="0"/>
    <xf numFmtId="0" fontId="61" fillId="44" borderId="0" applyNumberFormat="0" applyBorder="0" applyAlignment="0" applyProtection="0"/>
    <xf numFmtId="0" fontId="61" fillId="44" borderId="0" applyNumberFormat="0" applyBorder="0" applyAlignment="0" applyProtection="0"/>
    <xf numFmtId="0" fontId="61" fillId="44" borderId="0" applyNumberFormat="0" applyBorder="0" applyAlignment="0" applyProtection="0"/>
    <xf numFmtId="0" fontId="24" fillId="47" borderId="0" applyNumberFormat="0" applyBorder="0" applyAlignment="0" applyProtection="0"/>
    <xf numFmtId="0" fontId="24" fillId="47" borderId="0" applyNumberFormat="0" applyBorder="0" applyAlignment="0" applyProtection="0"/>
    <xf numFmtId="0" fontId="25" fillId="47" borderId="0" applyNumberFormat="0" applyBorder="0" applyAlignment="0" applyProtection="0"/>
    <xf numFmtId="0" fontId="24" fillId="47" borderId="0" applyNumberFormat="0" applyBorder="0" applyAlignment="0" applyProtection="0"/>
    <xf numFmtId="0" fontId="61" fillId="47" borderId="0" applyNumberFormat="0" applyBorder="0" applyAlignment="0" applyProtection="0"/>
    <xf numFmtId="0" fontId="24" fillId="47"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61" fillId="47" borderId="0" applyNumberFormat="0" applyBorder="0" applyAlignment="0" applyProtection="0"/>
    <xf numFmtId="0" fontId="61" fillId="47" borderId="0" applyNumberFormat="0" applyBorder="0" applyAlignment="0" applyProtection="0"/>
    <xf numFmtId="0" fontId="61" fillId="47" borderId="0" applyNumberFormat="0" applyBorder="0" applyAlignment="0" applyProtection="0"/>
    <xf numFmtId="0" fontId="24" fillId="33" borderId="0" applyNumberFormat="0" applyBorder="0" applyAlignment="0" applyProtection="0"/>
    <xf numFmtId="0" fontId="24" fillId="33" borderId="0" applyNumberFormat="0" applyBorder="0" applyAlignment="0" applyProtection="0"/>
    <xf numFmtId="0" fontId="25" fillId="33" borderId="0" applyNumberFormat="0" applyBorder="0" applyAlignment="0" applyProtection="0"/>
    <xf numFmtId="0" fontId="24" fillId="33" borderId="0" applyNumberFormat="0" applyBorder="0" applyAlignment="0" applyProtection="0"/>
    <xf numFmtId="0" fontId="61" fillId="48" borderId="0" applyNumberFormat="0" applyBorder="0" applyAlignment="0" applyProtection="0"/>
    <xf numFmtId="0" fontId="24" fillId="33" borderId="0" applyNumberFormat="0" applyBorder="0" applyAlignment="0" applyProtection="0"/>
    <xf numFmtId="0" fontId="25" fillId="33" borderId="0" applyNumberFormat="0" applyBorder="0" applyAlignment="0" applyProtection="0"/>
    <xf numFmtId="0" fontId="25" fillId="33" borderId="0" applyNumberFormat="0" applyBorder="0" applyAlignment="0" applyProtection="0"/>
    <xf numFmtId="0" fontId="61" fillId="48" borderId="0" applyNumberFormat="0" applyBorder="0" applyAlignment="0" applyProtection="0"/>
    <xf numFmtId="0" fontId="61" fillId="48" borderId="0" applyNumberFormat="0" applyBorder="0" applyAlignment="0" applyProtection="0"/>
    <xf numFmtId="0" fontId="61" fillId="48"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5" fillId="45" borderId="0" applyNumberFormat="0" applyBorder="0" applyAlignment="0" applyProtection="0"/>
    <xf numFmtId="0" fontId="24" fillId="45" borderId="0" applyNumberFormat="0" applyBorder="0" applyAlignment="0" applyProtection="0"/>
    <xf numFmtId="0" fontId="61" fillId="41" borderId="0" applyNumberFormat="0" applyBorder="0" applyAlignment="0" applyProtection="0"/>
    <xf numFmtId="0" fontId="24" fillId="45"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61" fillId="41" borderId="0" applyNumberFormat="0" applyBorder="0" applyAlignment="0" applyProtection="0"/>
    <xf numFmtId="0" fontId="61" fillId="41" borderId="0" applyNumberFormat="0" applyBorder="0" applyAlignment="0" applyProtection="0"/>
    <xf numFmtId="0" fontId="61" fillId="41" borderId="0" applyNumberFormat="0" applyBorder="0" applyAlignment="0" applyProtection="0"/>
    <xf numFmtId="0" fontId="24" fillId="44" borderId="0" applyNumberFormat="0" applyBorder="0" applyAlignment="0" applyProtection="0"/>
    <xf numFmtId="0" fontId="24" fillId="44" borderId="0" applyNumberFormat="0" applyBorder="0" applyAlignment="0" applyProtection="0"/>
    <xf numFmtId="0" fontId="25" fillId="43" borderId="0" applyNumberFormat="0" applyBorder="0" applyAlignment="0" applyProtection="0"/>
    <xf numFmtId="0" fontId="24" fillId="44" borderId="0" applyNumberFormat="0" applyBorder="0" applyAlignment="0" applyProtection="0"/>
    <xf numFmtId="0" fontId="61" fillId="44" borderId="0" applyNumberFormat="0" applyBorder="0" applyAlignment="0" applyProtection="0"/>
    <xf numFmtId="0" fontId="24" fillId="44" borderId="0" applyNumberFormat="0" applyBorder="0" applyAlignment="0" applyProtection="0"/>
    <xf numFmtId="0" fontId="25" fillId="43" borderId="0" applyNumberFormat="0" applyBorder="0" applyAlignment="0" applyProtection="0"/>
    <xf numFmtId="0" fontId="25" fillId="43" borderId="0" applyNumberFormat="0" applyBorder="0" applyAlignment="0" applyProtection="0"/>
    <xf numFmtId="0" fontId="61" fillId="44" borderId="0" applyNumberFormat="0" applyBorder="0" applyAlignment="0" applyProtection="0"/>
    <xf numFmtId="0" fontId="61" fillId="44" borderId="0" applyNumberFormat="0" applyBorder="0" applyAlignment="0" applyProtection="0"/>
    <xf numFmtId="0" fontId="61" fillId="44" borderId="0" applyNumberFormat="0" applyBorder="0" applyAlignment="0" applyProtection="0"/>
    <xf numFmtId="0" fontId="24" fillId="38"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4" fillId="38" borderId="0" applyNumberFormat="0" applyBorder="0" applyAlignment="0" applyProtection="0"/>
    <xf numFmtId="0" fontId="61" fillId="49" borderId="0" applyNumberFormat="0" applyBorder="0" applyAlignment="0" applyProtection="0"/>
    <xf numFmtId="0" fontId="24" fillId="38"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61" fillId="49" borderId="0" applyNumberFormat="0" applyBorder="0" applyAlignment="0" applyProtection="0"/>
    <xf numFmtId="0" fontId="61" fillId="49" borderId="0" applyNumberFormat="0" applyBorder="0" applyAlignment="0" applyProtection="0"/>
    <xf numFmtId="0" fontId="61" fillId="49"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66" fillId="51" borderId="0" applyNumberFormat="0" applyBorder="0" applyAlignment="0" applyProtection="0"/>
    <xf numFmtId="0" fontId="25" fillId="51" borderId="0" applyNumberFormat="0" applyBorder="0" applyAlignment="0" applyProtection="0"/>
    <xf numFmtId="0" fontId="58" fillId="50" borderId="0" applyNumberFormat="0" applyBorder="0" applyAlignment="0" applyProtection="0"/>
    <xf numFmtId="0" fontId="66" fillId="51" borderId="0" applyNumberFormat="0" applyBorder="0" applyAlignment="0" applyProtection="0"/>
    <xf numFmtId="0" fontId="66" fillId="51" borderId="0" applyNumberFormat="0" applyBorder="0" applyAlignment="0" applyProtection="0"/>
    <xf numFmtId="0" fontId="58" fillId="50" borderId="0" applyNumberFormat="0" applyBorder="0" applyAlignment="0" applyProtection="0"/>
    <xf numFmtId="0" fontId="58" fillId="50" borderId="0" applyNumberFormat="0" applyBorder="0" applyAlignment="0" applyProtection="0"/>
    <xf numFmtId="0" fontId="58" fillId="50" borderId="0" applyNumberFormat="0" applyBorder="0" applyAlignment="0" applyProtection="0"/>
    <xf numFmtId="0" fontId="25" fillId="47" borderId="0" applyNumberFormat="0" applyBorder="0" applyAlignment="0" applyProtection="0"/>
    <xf numFmtId="0" fontId="25" fillId="47" borderId="0" applyNumberFormat="0" applyBorder="0" applyAlignment="0" applyProtection="0"/>
    <xf numFmtId="0" fontId="66" fillId="47" borderId="0" applyNumberFormat="0" applyBorder="0" applyAlignment="0" applyProtection="0"/>
    <xf numFmtId="0" fontId="25" fillId="47" borderId="0" applyNumberFormat="0" applyBorder="0" applyAlignment="0" applyProtection="0"/>
    <xf numFmtId="0" fontId="58" fillId="47" borderId="0" applyNumberFormat="0" applyBorder="0" applyAlignment="0" applyProtection="0"/>
    <xf numFmtId="0" fontId="66" fillId="47" borderId="0" applyNumberFormat="0" applyBorder="0" applyAlignment="0" applyProtection="0"/>
    <xf numFmtId="0" fontId="66" fillId="47" borderId="0" applyNumberFormat="0" applyBorder="0" applyAlignment="0" applyProtection="0"/>
    <xf numFmtId="0" fontId="58" fillId="47" borderId="0" applyNumberFormat="0" applyBorder="0" applyAlignment="0" applyProtection="0"/>
    <xf numFmtId="0" fontId="58" fillId="47" borderId="0" applyNumberFormat="0" applyBorder="0" applyAlignment="0" applyProtection="0"/>
    <xf numFmtId="0" fontId="58" fillId="47" borderId="0" applyNumberFormat="0" applyBorder="0" applyAlignment="0" applyProtection="0"/>
    <xf numFmtId="0" fontId="25" fillId="33" borderId="0" applyNumberFormat="0" applyBorder="0" applyAlignment="0" applyProtection="0"/>
    <xf numFmtId="0" fontId="25" fillId="33" borderId="0" applyNumberFormat="0" applyBorder="0" applyAlignment="0" applyProtection="0"/>
    <xf numFmtId="0" fontId="66" fillId="33" borderId="0" applyNumberFormat="0" applyBorder="0" applyAlignment="0" applyProtection="0"/>
    <xf numFmtId="0" fontId="25" fillId="33" borderId="0" applyNumberFormat="0" applyBorder="0" applyAlignment="0" applyProtection="0"/>
    <xf numFmtId="0" fontId="58" fillId="48" borderId="0" applyNumberFormat="0" applyBorder="0" applyAlignment="0" applyProtection="0"/>
    <xf numFmtId="0" fontId="66" fillId="33" borderId="0" applyNumberFormat="0" applyBorder="0" applyAlignment="0" applyProtection="0"/>
    <xf numFmtId="0" fontId="66" fillId="33" borderId="0" applyNumberFormat="0" applyBorder="0" applyAlignment="0" applyProtection="0"/>
    <xf numFmtId="0" fontId="58" fillId="48" borderId="0" applyNumberFormat="0" applyBorder="0" applyAlignment="0" applyProtection="0"/>
    <xf numFmtId="0" fontId="58" fillId="48" borderId="0" applyNumberFormat="0" applyBorder="0" applyAlignment="0" applyProtection="0"/>
    <xf numFmtId="0" fontId="58" fillId="48" borderId="0" applyNumberFormat="0" applyBorder="0" applyAlignment="0" applyProtection="0"/>
    <xf numFmtId="0" fontId="25" fillId="45" borderId="0" applyNumberFormat="0" applyBorder="0" applyAlignment="0" applyProtection="0"/>
    <xf numFmtId="0" fontId="25" fillId="45" borderId="0" applyNumberFormat="0" applyBorder="0" applyAlignment="0" applyProtection="0"/>
    <xf numFmtId="0" fontId="66" fillId="45" borderId="0" applyNumberFormat="0" applyBorder="0" applyAlignment="0" applyProtection="0"/>
    <xf numFmtId="0" fontId="25" fillId="45" borderId="0" applyNumberFormat="0" applyBorder="0" applyAlignment="0" applyProtection="0"/>
    <xf numFmtId="0" fontId="58" fillId="52" borderId="0" applyNumberFormat="0" applyBorder="0" applyAlignment="0" applyProtection="0"/>
    <xf numFmtId="0" fontId="66" fillId="45" borderId="0" applyNumberFormat="0" applyBorder="0" applyAlignment="0" applyProtection="0"/>
    <xf numFmtId="0" fontId="66" fillId="45" borderId="0" applyNumberFormat="0" applyBorder="0" applyAlignment="0" applyProtection="0"/>
    <xf numFmtId="0" fontId="58" fillId="52" borderId="0" applyNumberFormat="0" applyBorder="0" applyAlignment="0" applyProtection="0"/>
    <xf numFmtId="0" fontId="58" fillId="52" borderId="0" applyNumberFormat="0" applyBorder="0" applyAlignment="0" applyProtection="0"/>
    <xf numFmtId="0" fontId="58" fillId="52"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66" fillId="51" borderId="0" applyNumberFormat="0" applyBorder="0" applyAlignment="0" applyProtection="0"/>
    <xf numFmtId="0" fontId="25" fillId="51" borderId="0" applyNumberFormat="0" applyBorder="0" applyAlignment="0" applyProtection="0"/>
    <xf numFmtId="0" fontId="58" fillId="51" borderId="0" applyNumberFormat="0" applyBorder="0" applyAlignment="0" applyProtection="0"/>
    <xf numFmtId="0" fontId="66" fillId="51" borderId="0" applyNumberFormat="0" applyBorder="0" applyAlignment="0" applyProtection="0"/>
    <xf numFmtId="0" fontId="66" fillId="51" borderId="0" applyNumberFormat="0" applyBorder="0" applyAlignment="0" applyProtection="0"/>
    <xf numFmtId="0" fontId="58" fillId="51" borderId="0" applyNumberFormat="0" applyBorder="0" applyAlignment="0" applyProtection="0"/>
    <xf numFmtId="0" fontId="58" fillId="51" borderId="0" applyNumberFormat="0" applyBorder="0" applyAlignment="0" applyProtection="0"/>
    <xf numFmtId="0" fontId="58" fillId="51" borderId="0" applyNumberFormat="0" applyBorder="0" applyAlignment="0" applyProtection="0"/>
    <xf numFmtId="0" fontId="25" fillId="38" borderId="0" applyNumberFormat="0" applyBorder="0" applyAlignment="0" applyProtection="0"/>
    <xf numFmtId="0" fontId="25" fillId="38" borderId="0" applyNumberFormat="0" applyBorder="0" applyAlignment="0" applyProtection="0"/>
    <xf numFmtId="0" fontId="66" fillId="54" borderId="0" applyNumberFormat="0" applyBorder="0" applyAlignment="0" applyProtection="0"/>
    <xf numFmtId="0" fontId="25" fillId="38" borderId="0" applyNumberFormat="0" applyBorder="0" applyAlignment="0" applyProtection="0"/>
    <xf numFmtId="0" fontId="58" fillId="53" borderId="0" applyNumberFormat="0" applyBorder="0" applyAlignment="0" applyProtection="0"/>
    <xf numFmtId="0" fontId="66" fillId="54" borderId="0" applyNumberFormat="0" applyBorder="0" applyAlignment="0" applyProtection="0"/>
    <xf numFmtId="0" fontId="66" fillId="54" borderId="0" applyNumberFormat="0" applyBorder="0" applyAlignment="0" applyProtection="0"/>
    <xf numFmtId="0" fontId="58" fillId="53" borderId="0" applyNumberFormat="0" applyBorder="0" applyAlignment="0" applyProtection="0"/>
    <xf numFmtId="0" fontId="58" fillId="53" borderId="0" applyNumberFormat="0" applyBorder="0" applyAlignment="0" applyProtection="0"/>
    <xf numFmtId="0" fontId="58" fillId="53"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66" fillId="51" borderId="0" applyNumberFormat="0" applyBorder="0" applyAlignment="0" applyProtection="0"/>
    <xf numFmtId="0" fontId="25" fillId="51" borderId="0" applyNumberFormat="0" applyBorder="0" applyAlignment="0" applyProtection="0"/>
    <xf numFmtId="0" fontId="58" fillId="55" borderId="0" applyNumberFormat="0" applyBorder="0" applyAlignment="0" applyProtection="0"/>
    <xf numFmtId="0" fontId="66" fillId="51" borderId="0" applyNumberFormat="0" applyBorder="0" applyAlignment="0" applyProtection="0"/>
    <xf numFmtId="0" fontId="66" fillId="51" borderId="0" applyNumberFormat="0" applyBorder="0" applyAlignment="0" applyProtection="0"/>
    <xf numFmtId="0" fontId="58" fillId="55" borderId="0" applyNumberFormat="0" applyBorder="0" applyAlignment="0" applyProtection="0"/>
    <xf numFmtId="0" fontId="58" fillId="55" borderId="0" applyNumberFormat="0" applyBorder="0" applyAlignment="0" applyProtection="0"/>
    <xf numFmtId="0" fontId="58" fillId="55" borderId="0" applyNumberFormat="0" applyBorder="0" applyAlignment="0" applyProtection="0"/>
    <xf numFmtId="0" fontId="25" fillId="56" borderId="0" applyNumberFormat="0" applyBorder="0" applyAlignment="0" applyProtection="0"/>
    <xf numFmtId="0" fontId="25" fillId="56" borderId="0" applyNumberFormat="0" applyBorder="0" applyAlignment="0" applyProtection="0"/>
    <xf numFmtId="0" fontId="66" fillId="56" borderId="0" applyNumberFormat="0" applyBorder="0" applyAlignment="0" applyProtection="0"/>
    <xf numFmtId="0" fontId="25" fillId="56" borderId="0" applyNumberFormat="0" applyBorder="0" applyAlignment="0" applyProtection="0"/>
    <xf numFmtId="0" fontId="58" fillId="56" borderId="0" applyNumberFormat="0" applyBorder="0" applyAlignment="0" applyProtection="0"/>
    <xf numFmtId="0" fontId="66" fillId="56" borderId="0" applyNumberFormat="0" applyBorder="0" applyAlignment="0" applyProtection="0"/>
    <xf numFmtId="0" fontId="66" fillId="56" borderId="0" applyNumberFormat="0" applyBorder="0" applyAlignment="0" applyProtection="0"/>
    <xf numFmtId="0" fontId="58" fillId="56" borderId="0" applyNumberFormat="0" applyBorder="0" applyAlignment="0" applyProtection="0"/>
    <xf numFmtId="0" fontId="58" fillId="56" borderId="0" applyNumberFormat="0" applyBorder="0" applyAlignment="0" applyProtection="0"/>
    <xf numFmtId="0" fontId="58" fillId="56" borderId="0" applyNumberFormat="0" applyBorder="0" applyAlignment="0" applyProtection="0"/>
    <xf numFmtId="0" fontId="25" fillId="57" borderId="0" applyNumberFormat="0" applyBorder="0" applyAlignment="0" applyProtection="0"/>
    <xf numFmtId="0" fontId="25" fillId="57" borderId="0" applyNumberFormat="0" applyBorder="0" applyAlignment="0" applyProtection="0"/>
    <xf numFmtId="0" fontId="66" fillId="57" borderId="0" applyNumberFormat="0" applyBorder="0" applyAlignment="0" applyProtection="0"/>
    <xf numFmtId="0" fontId="25" fillId="57" borderId="0" applyNumberFormat="0" applyBorder="0" applyAlignment="0" applyProtection="0"/>
    <xf numFmtId="0" fontId="58" fillId="57" borderId="0" applyNumberFormat="0" applyBorder="0" applyAlignment="0" applyProtection="0"/>
    <xf numFmtId="0" fontId="66" fillId="57" borderId="0" applyNumberFormat="0" applyBorder="0" applyAlignment="0" applyProtection="0"/>
    <xf numFmtId="0" fontId="66" fillId="57" borderId="0" applyNumberFormat="0" applyBorder="0" applyAlignment="0" applyProtection="0"/>
    <xf numFmtId="0" fontId="58" fillId="57" borderId="0" applyNumberFormat="0" applyBorder="0" applyAlignment="0" applyProtection="0"/>
    <xf numFmtId="0" fontId="58" fillId="57" borderId="0" applyNumberFormat="0" applyBorder="0" applyAlignment="0" applyProtection="0"/>
    <xf numFmtId="0" fontId="58" fillId="57" borderId="0" applyNumberFormat="0" applyBorder="0" applyAlignment="0" applyProtection="0"/>
    <xf numFmtId="0" fontId="25" fillId="58" borderId="0" applyNumberFormat="0" applyBorder="0" applyAlignment="0" applyProtection="0"/>
    <xf numFmtId="0" fontId="25" fillId="58" borderId="0" applyNumberFormat="0" applyBorder="0" applyAlignment="0" applyProtection="0"/>
    <xf numFmtId="0" fontId="66" fillId="58" borderId="0" applyNumberFormat="0" applyBorder="0" applyAlignment="0" applyProtection="0"/>
    <xf numFmtId="0" fontId="25" fillId="58" borderId="0" applyNumberFormat="0" applyBorder="0" applyAlignment="0" applyProtection="0"/>
    <xf numFmtId="0" fontId="58" fillId="52" borderId="0" applyNumberFormat="0" applyBorder="0" applyAlignment="0" applyProtection="0"/>
    <xf numFmtId="0" fontId="66" fillId="58" borderId="0" applyNumberFormat="0" applyBorder="0" applyAlignment="0" applyProtection="0"/>
    <xf numFmtId="0" fontId="66" fillId="58" borderId="0" applyNumberFormat="0" applyBorder="0" applyAlignment="0" applyProtection="0"/>
    <xf numFmtId="0" fontId="58" fillId="52" borderId="0" applyNumberFormat="0" applyBorder="0" applyAlignment="0" applyProtection="0"/>
    <xf numFmtId="0" fontId="58" fillId="52" borderId="0" applyNumberFormat="0" applyBorder="0" applyAlignment="0" applyProtection="0"/>
    <xf numFmtId="0" fontId="58" fillId="52" borderId="0" applyNumberFormat="0" applyBorder="0" applyAlignment="0" applyProtection="0"/>
    <xf numFmtId="0" fontId="25" fillId="51" borderId="0" applyNumberFormat="0" applyBorder="0" applyAlignment="0" applyProtection="0"/>
    <xf numFmtId="0" fontId="25" fillId="51" borderId="0" applyNumberFormat="0" applyBorder="0" applyAlignment="0" applyProtection="0"/>
    <xf numFmtId="0" fontId="66" fillId="51" borderId="0" applyNumberFormat="0" applyBorder="0" applyAlignment="0" applyProtection="0"/>
    <xf numFmtId="0" fontId="25" fillId="51" borderId="0" applyNumberFormat="0" applyBorder="0" applyAlignment="0" applyProtection="0"/>
    <xf numFmtId="0" fontId="58" fillId="51" borderId="0" applyNumberFormat="0" applyBorder="0" applyAlignment="0" applyProtection="0"/>
    <xf numFmtId="0" fontId="66" fillId="51" borderId="0" applyNumberFormat="0" applyBorder="0" applyAlignment="0" applyProtection="0"/>
    <xf numFmtId="0" fontId="66" fillId="51" borderId="0" applyNumberFormat="0" applyBorder="0" applyAlignment="0" applyProtection="0"/>
    <xf numFmtId="0" fontId="58" fillId="51" borderId="0" applyNumberFormat="0" applyBorder="0" applyAlignment="0" applyProtection="0"/>
    <xf numFmtId="0" fontId="58" fillId="51" borderId="0" applyNumberFormat="0" applyBorder="0" applyAlignment="0" applyProtection="0"/>
    <xf numFmtId="0" fontId="58" fillId="51" borderId="0" applyNumberFormat="0" applyBorder="0" applyAlignment="0" applyProtection="0"/>
    <xf numFmtId="0" fontId="25" fillId="59" borderId="0" applyNumberFormat="0" applyBorder="0" applyAlignment="0" applyProtection="0"/>
    <xf numFmtId="0" fontId="25" fillId="59" borderId="0" applyNumberFormat="0" applyBorder="0" applyAlignment="0" applyProtection="0"/>
    <xf numFmtId="0" fontId="66" fillId="59" borderId="0" applyNumberFormat="0" applyBorder="0" applyAlignment="0" applyProtection="0"/>
    <xf numFmtId="0" fontId="25" fillId="59" borderId="0" applyNumberFormat="0" applyBorder="0" applyAlignment="0" applyProtection="0"/>
    <xf numFmtId="0" fontId="58" fillId="59" borderId="0" applyNumberFormat="0" applyBorder="0" applyAlignment="0" applyProtection="0"/>
    <xf numFmtId="0" fontId="66" fillId="59" borderId="0" applyNumberFormat="0" applyBorder="0" applyAlignment="0" applyProtection="0"/>
    <xf numFmtId="0" fontId="66" fillId="59" borderId="0" applyNumberFormat="0" applyBorder="0" applyAlignment="0" applyProtection="0"/>
    <xf numFmtId="0" fontId="58" fillId="59" borderId="0" applyNumberFormat="0" applyBorder="0" applyAlignment="0" applyProtection="0"/>
    <xf numFmtId="0" fontId="58" fillId="59" borderId="0" applyNumberFormat="0" applyBorder="0" applyAlignment="0" applyProtection="0"/>
    <xf numFmtId="0" fontId="58" fillId="59" borderId="0" applyNumberFormat="0" applyBorder="0" applyAlignment="0" applyProtection="0"/>
    <xf numFmtId="0" fontId="46" fillId="0" borderId="0" applyNumberFormat="0" applyFill="0" applyBorder="0" applyAlignment="0">
      <protection locked="0"/>
    </xf>
    <xf numFmtId="0" fontId="26" fillId="37" borderId="0" applyNumberFormat="0" applyBorder="0" applyAlignment="0" applyProtection="0"/>
    <xf numFmtId="0" fontId="26" fillId="37" borderId="0" applyNumberFormat="0" applyBorder="0" applyAlignment="0" applyProtection="0"/>
    <xf numFmtId="0" fontId="68" fillId="37" borderId="0" applyNumberFormat="0" applyBorder="0" applyAlignment="0" applyProtection="0"/>
    <xf numFmtId="0" fontId="26" fillId="37" borderId="0" applyNumberFormat="0" applyBorder="0" applyAlignment="0" applyProtection="0"/>
    <xf numFmtId="0" fontId="67" fillId="37" borderId="0" applyNumberFormat="0" applyBorder="0" applyAlignment="0" applyProtection="0"/>
    <xf numFmtId="0" fontId="68" fillId="37" borderId="0" applyNumberFormat="0" applyBorder="0" applyAlignment="0" applyProtection="0"/>
    <xf numFmtId="0" fontId="68" fillId="37" borderId="0" applyNumberFormat="0" applyBorder="0" applyAlignment="0" applyProtection="0"/>
    <xf numFmtId="0" fontId="67" fillId="37" borderId="0" applyNumberFormat="0" applyBorder="0" applyAlignment="0" applyProtection="0"/>
    <xf numFmtId="0" fontId="67" fillId="37" borderId="0" applyNumberFormat="0" applyBorder="0" applyAlignment="0" applyProtection="0"/>
    <xf numFmtId="0" fontId="67" fillId="37" borderId="0" applyNumberFormat="0" applyBorder="0" applyAlignment="0" applyProtection="0"/>
    <xf numFmtId="167" fontId="37" fillId="0" borderId="0" applyFill="0" applyBorder="0" applyAlignment="0"/>
    <xf numFmtId="0" fontId="27" fillId="35" borderId="12" applyNumberFormat="0" applyAlignment="0" applyProtection="0"/>
    <xf numFmtId="0" fontId="27" fillId="35" borderId="12" applyNumberFormat="0" applyAlignment="0" applyProtection="0"/>
    <xf numFmtId="0" fontId="27" fillId="48" borderId="13" applyNumberFormat="0" applyAlignment="0" applyProtection="0"/>
    <xf numFmtId="0" fontId="27" fillId="35" borderId="12" applyNumberFormat="0" applyAlignment="0" applyProtection="0"/>
    <xf numFmtId="0" fontId="69" fillId="45" borderId="12" applyNumberFormat="0" applyAlignment="0" applyProtection="0"/>
    <xf numFmtId="0" fontId="27" fillId="48" borderId="13" applyNumberFormat="0" applyAlignment="0" applyProtection="0"/>
    <xf numFmtId="0" fontId="27" fillId="48" borderId="13" applyNumberFormat="0" applyAlignment="0" applyProtection="0"/>
    <xf numFmtId="0" fontId="69" fillId="45" borderId="12" applyNumberFormat="0" applyAlignment="0" applyProtection="0"/>
    <xf numFmtId="0" fontId="27" fillId="48" borderId="13" applyNumberFormat="0" applyAlignment="0" applyProtection="0"/>
    <xf numFmtId="0" fontId="69" fillId="45" borderId="12" applyNumberFormat="0" applyAlignment="0" applyProtection="0"/>
    <xf numFmtId="0" fontId="28" fillId="45" borderId="14" applyNumberFormat="0" applyAlignment="0" applyProtection="0"/>
    <xf numFmtId="0" fontId="28" fillId="45" borderId="14" applyNumberFormat="0" applyAlignment="0" applyProtection="0"/>
    <xf numFmtId="0" fontId="70" fillId="35" borderId="14" applyNumberFormat="0" applyAlignment="0" applyProtection="0"/>
    <xf numFmtId="0" fontId="28" fillId="45" borderId="14" applyNumberFormat="0" applyAlignment="0" applyProtection="0"/>
    <xf numFmtId="0" fontId="57" fillId="35" borderId="14" applyNumberFormat="0" applyAlignment="0" applyProtection="0"/>
    <xf numFmtId="0" fontId="70" fillId="35" borderId="14" applyNumberFormat="0" applyAlignment="0" applyProtection="0"/>
    <xf numFmtId="0" fontId="70" fillId="35" borderId="14" applyNumberFormat="0" applyAlignment="0" applyProtection="0"/>
    <xf numFmtId="0" fontId="57" fillId="35" borderId="14" applyNumberFormat="0" applyAlignment="0" applyProtection="0"/>
    <xf numFmtId="0" fontId="70" fillId="35" borderId="14" applyNumberFormat="0" applyAlignment="0" applyProtection="0"/>
    <xf numFmtId="0" fontId="57" fillId="35" borderId="14" applyNumberFormat="0" applyAlignment="0" applyProtection="0"/>
    <xf numFmtId="43" fontId="18" fillId="0" borderId="0" applyFont="0" applyFill="0" applyBorder="0" applyAlignment="0" applyProtection="0"/>
    <xf numFmtId="0" fontId="71" fillId="0" borderId="0" applyFont="0" applyFill="0" applyBorder="0" applyAlignment="0" applyProtection="0">
      <alignment horizontal="right"/>
    </xf>
    <xf numFmtId="43" fontId="21"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71" fillId="0" borderId="0" applyFont="0" applyFill="0" applyBorder="0" applyAlignment="0" applyProtection="0">
      <alignment horizontal="right"/>
    </xf>
    <xf numFmtId="0" fontId="71" fillId="0" borderId="0" applyFont="0" applyFill="0" applyBorder="0" applyAlignment="0" applyProtection="0">
      <alignment horizontal="right"/>
    </xf>
    <xf numFmtId="43" fontId="22" fillId="0" borderId="0" applyFont="0" applyFill="0" applyBorder="0" applyAlignment="0" applyProtection="0"/>
    <xf numFmtId="43" fontId="2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71" fillId="0" borderId="0" applyFont="0" applyFill="0" applyBorder="0" applyAlignment="0" applyProtection="0">
      <alignment horizontal="right"/>
    </xf>
    <xf numFmtId="0" fontId="71" fillId="0" borderId="0" applyFont="0" applyFill="0" applyBorder="0" applyAlignment="0" applyProtection="0">
      <alignment horizontal="right"/>
    </xf>
    <xf numFmtId="43" fontId="21" fillId="0" borderId="0" applyFont="0" applyFill="0" applyBorder="0" applyAlignment="0" applyProtection="0"/>
    <xf numFmtId="43" fontId="38"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38" fillId="0" borderId="0" applyFont="0" applyFill="0" applyBorder="0" applyAlignment="0" applyProtection="0"/>
    <xf numFmtId="43" fontId="24" fillId="0" borderId="0" applyFont="0" applyFill="0" applyBorder="0" applyAlignment="0" applyProtection="0"/>
    <xf numFmtId="43" fontId="38" fillId="0" borderId="0" applyFont="0" applyFill="0" applyBorder="0" applyAlignment="0" applyProtection="0"/>
    <xf numFmtId="43" fontId="72" fillId="0" borderId="0" applyFont="0" applyFill="0" applyBorder="0" applyAlignment="0" applyProtection="0"/>
    <xf numFmtId="43" fontId="21" fillId="0" borderId="0" applyFont="0" applyFill="0" applyBorder="0" applyAlignment="0" applyProtection="0"/>
    <xf numFmtId="43" fontId="72"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38" fillId="0" borderId="0" applyFont="0" applyFill="0" applyBorder="0" applyAlignment="0" applyProtection="0"/>
    <xf numFmtId="43" fontId="1"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38"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7" fontId="19"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3" fontId="21" fillId="0" borderId="0" applyFont="0" applyFill="0" applyBorder="0" applyAlignment="0" applyProtection="0"/>
    <xf numFmtId="0" fontId="39" fillId="0" borderId="0"/>
    <xf numFmtId="0" fontId="40" fillId="0" borderId="0" applyNumberFormat="0" applyAlignment="0">
      <alignment horizontal="left"/>
    </xf>
    <xf numFmtId="0" fontId="41" fillId="0" borderId="0" applyNumberFormat="0" applyAlignment="0"/>
    <xf numFmtId="0" fontId="39" fillId="0" borderId="0"/>
    <xf numFmtId="0" fontId="39" fillId="0" borderId="0"/>
    <xf numFmtId="44" fontId="18" fillId="0" borderId="0" applyFont="0" applyFill="0" applyBorder="0" applyAlignment="0" applyProtection="0"/>
    <xf numFmtId="0" fontId="71" fillId="0" borderId="0" applyFont="0" applyFill="0" applyBorder="0" applyAlignment="0" applyProtection="0">
      <alignment horizontal="right"/>
    </xf>
    <xf numFmtId="44" fontId="21" fillId="0" borderId="0" applyFont="0" applyFill="0" applyBorder="0" applyAlignment="0" applyProtection="0"/>
    <xf numFmtId="0" fontId="71" fillId="0" borderId="0" applyFont="0" applyFill="0" applyBorder="0" applyAlignment="0" applyProtection="0">
      <alignment horizontal="right"/>
    </xf>
    <xf numFmtId="44" fontId="21" fillId="0" borderId="0" applyFont="0" applyFill="0" applyBorder="0" applyAlignment="0" applyProtection="0"/>
    <xf numFmtId="0" fontId="71" fillId="0" borderId="0" applyFont="0" applyFill="0" applyBorder="0" applyAlignment="0" applyProtection="0">
      <alignment horizontal="right"/>
    </xf>
    <xf numFmtId="44" fontId="22" fillId="0" borderId="0" applyFont="0" applyFill="0" applyBorder="0" applyAlignment="0" applyProtection="0"/>
    <xf numFmtId="44" fontId="22"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5" fontId="21" fillId="0" borderId="0" applyFont="0" applyFill="0" applyBorder="0" applyAlignment="0" applyProtection="0"/>
    <xf numFmtId="14" fontId="22" fillId="0" borderId="0" applyFont="0" applyFill="0" applyBorder="0" applyAlignment="0" applyProtection="0"/>
    <xf numFmtId="14" fontId="22" fillId="0" borderId="0" applyFont="0" applyFill="0" applyBorder="0" applyAlignment="0" applyProtection="0"/>
    <xf numFmtId="0" fontId="71" fillId="0" borderId="0" applyFont="0" applyFill="0" applyBorder="0" applyAlignment="0" applyProtection="0"/>
    <xf numFmtId="0" fontId="71" fillId="0" borderId="15" applyNumberFormat="0" applyFont="0" applyFill="0" applyAlignment="0" applyProtection="0"/>
    <xf numFmtId="166" fontId="21" fillId="0" borderId="0"/>
    <xf numFmtId="0" fontId="29" fillId="0" borderId="0" applyNumberFormat="0" applyFill="0" applyBorder="0" applyAlignment="0" applyProtection="0"/>
    <xf numFmtId="0" fontId="29" fillId="0" borderId="0" applyNumberFormat="0" applyFill="0" applyBorder="0" applyAlignment="0" applyProtection="0"/>
    <xf numFmtId="0" fontId="74" fillId="0" borderId="0" applyNumberFormat="0" applyFill="0" applyBorder="0" applyAlignment="0" applyProtection="0"/>
    <xf numFmtId="0" fontId="29" fillId="0" borderId="0" applyNumberFormat="0" applyFill="0" applyBorder="0" applyAlignment="0" applyProtection="0"/>
    <xf numFmtId="0" fontId="73" fillId="0" borderId="0" applyNumberFormat="0" applyFill="0" applyBorder="0" applyAlignment="0" applyProtection="0"/>
    <xf numFmtId="0" fontId="74" fillId="0" borderId="0" applyNumberFormat="0" applyFill="0" applyBorder="0" applyAlignment="0" applyProtection="0"/>
    <xf numFmtId="0" fontId="74"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2" fontId="42" fillId="0" borderId="0" applyFont="0" applyFill="0" applyBorder="0" applyAlignment="0" applyProtection="0"/>
    <xf numFmtId="0" fontId="39" fillId="0" borderId="0"/>
    <xf numFmtId="0" fontId="75" fillId="0" borderId="0" applyFill="0" applyBorder="0" applyProtection="0">
      <alignment horizontal="left"/>
    </xf>
    <xf numFmtId="0" fontId="30" fillId="39" borderId="0" applyNumberFormat="0" applyBorder="0" applyAlignment="0" applyProtection="0"/>
    <xf numFmtId="0" fontId="30" fillId="39" borderId="0" applyNumberFormat="0" applyBorder="0" applyAlignment="0" applyProtection="0"/>
    <xf numFmtId="0" fontId="77" fillId="43" borderId="0" applyNumberFormat="0" applyBorder="0" applyAlignment="0" applyProtection="0"/>
    <xf numFmtId="0" fontId="30" fillId="39" borderId="0" applyNumberFormat="0" applyBorder="0" applyAlignment="0" applyProtection="0"/>
    <xf numFmtId="0" fontId="76" fillId="39" borderId="0" applyNumberFormat="0" applyBorder="0" applyAlignment="0" applyProtection="0"/>
    <xf numFmtId="0" fontId="77" fillId="43" borderId="0" applyNumberFormat="0" applyBorder="0" applyAlignment="0" applyProtection="0"/>
    <xf numFmtId="0" fontId="77" fillId="43" borderId="0" applyNumberFormat="0" applyBorder="0" applyAlignment="0" applyProtection="0"/>
    <xf numFmtId="0" fontId="76" fillId="39" borderId="0" applyNumberFormat="0" applyBorder="0" applyAlignment="0" applyProtection="0"/>
    <xf numFmtId="0" fontId="76" fillId="39" borderId="0" applyNumberFormat="0" applyBorder="0" applyAlignment="0" applyProtection="0"/>
    <xf numFmtId="0" fontId="76" fillId="39" borderId="0" applyNumberFormat="0" applyBorder="0" applyAlignment="0" applyProtection="0"/>
    <xf numFmtId="38" fontId="22" fillId="60" borderId="0" applyNumberFormat="0" applyBorder="0" applyAlignment="0" applyProtection="0"/>
    <xf numFmtId="38" fontId="22" fillId="60" borderId="0" applyNumberFormat="0" applyBorder="0" applyAlignment="0" applyProtection="0"/>
    <xf numFmtId="0" fontId="71" fillId="0" borderId="0" applyFont="0" applyFill="0" applyBorder="0" applyAlignment="0" applyProtection="0">
      <alignment horizontal="right"/>
    </xf>
    <xf numFmtId="0" fontId="78" fillId="0" borderId="0" applyProtection="0">
      <alignment horizontal="right"/>
    </xf>
    <xf numFmtId="0" fontId="43" fillId="0" borderId="16" applyNumberFormat="0" applyAlignment="0" applyProtection="0">
      <alignment horizontal="left"/>
    </xf>
    <xf numFmtId="0" fontId="43" fillId="0" borderId="17">
      <alignment horizontal="left"/>
    </xf>
    <xf numFmtId="0" fontId="44" fillId="0" borderId="19" applyNumberFormat="0" applyFill="0" applyAlignment="0" applyProtection="0"/>
    <xf numFmtId="0" fontId="44" fillId="0" borderId="19" applyNumberFormat="0" applyFill="0" applyAlignment="0" applyProtection="0"/>
    <xf numFmtId="0" fontId="44" fillId="0" borderId="19" applyNumberFormat="0" applyFill="0" applyAlignment="0" applyProtection="0"/>
    <xf numFmtId="0" fontId="79" fillId="0" borderId="18" applyNumberFormat="0" applyFill="0" applyAlignment="0" applyProtection="0"/>
    <xf numFmtId="0" fontId="80" fillId="0" borderId="19" applyNumberFormat="0" applyFill="0" applyAlignment="0" applyProtection="0"/>
    <xf numFmtId="0" fontId="80" fillId="0" borderId="19" applyNumberFormat="0" applyFill="0" applyAlignment="0" applyProtection="0"/>
    <xf numFmtId="0" fontId="79" fillId="0" borderId="18" applyNumberFormat="0" applyFill="0" applyAlignment="0" applyProtection="0"/>
    <xf numFmtId="0" fontId="80" fillId="0" borderId="19" applyNumberFormat="0" applyFill="0" applyAlignment="0" applyProtection="0"/>
    <xf numFmtId="0" fontId="79" fillId="0" borderId="18" applyNumberFormat="0" applyFill="0" applyAlignment="0" applyProtection="0"/>
    <xf numFmtId="0" fontId="43" fillId="0" borderId="0" applyNumberFormat="0" applyFont="0" applyFill="0" applyAlignment="0" applyProtection="0"/>
    <xf numFmtId="0" fontId="43" fillId="0" borderId="0" applyNumberFormat="0" applyFont="0" applyFill="0" applyAlignment="0" applyProtection="0"/>
    <xf numFmtId="0" fontId="43" fillId="0" borderId="0" applyNumberFormat="0" applyFont="0" applyFill="0" applyAlignment="0" applyProtection="0"/>
    <xf numFmtId="0" fontId="81" fillId="0" borderId="20" applyNumberFormat="0" applyFill="0" applyAlignment="0" applyProtection="0"/>
    <xf numFmtId="0" fontId="82" fillId="0" borderId="21" applyNumberFormat="0" applyFill="0" applyAlignment="0" applyProtection="0"/>
    <xf numFmtId="0" fontId="82" fillId="0" borderId="21" applyNumberFormat="0" applyFill="0" applyAlignment="0" applyProtection="0"/>
    <xf numFmtId="0" fontId="81" fillId="0" borderId="20" applyNumberFormat="0" applyFill="0" applyAlignment="0" applyProtection="0"/>
    <xf numFmtId="0" fontId="82" fillId="0" borderId="21" applyNumberFormat="0" applyFill="0" applyAlignment="0" applyProtection="0"/>
    <xf numFmtId="0" fontId="81" fillId="0" borderId="20" applyNumberFormat="0" applyFill="0" applyAlignment="0" applyProtection="0"/>
    <xf numFmtId="0" fontId="45" fillId="0" borderId="23" applyNumberFormat="0" applyFill="0" applyAlignment="0" applyProtection="0"/>
    <xf numFmtId="0" fontId="45" fillId="0" borderId="23" applyNumberFormat="0" applyFill="0" applyAlignment="0" applyProtection="0"/>
    <xf numFmtId="0" fontId="45" fillId="0" borderId="23" applyNumberFormat="0" applyFill="0" applyAlignment="0" applyProtection="0"/>
    <xf numFmtId="0" fontId="83" fillId="0" borderId="22" applyNumberFormat="0" applyFill="0" applyAlignment="0" applyProtection="0"/>
    <xf numFmtId="0" fontId="84" fillId="0" borderId="23" applyNumberFormat="0" applyFill="0" applyAlignment="0" applyProtection="0"/>
    <xf numFmtId="0" fontId="84" fillId="0" borderId="23" applyNumberFormat="0" applyFill="0" applyAlignment="0" applyProtection="0"/>
    <xf numFmtId="0" fontId="83" fillId="0" borderId="22" applyNumberFormat="0" applyFill="0" applyAlignment="0" applyProtection="0"/>
    <xf numFmtId="0" fontId="84" fillId="0" borderId="23" applyNumberFormat="0" applyFill="0" applyAlignment="0" applyProtection="0"/>
    <xf numFmtId="0" fontId="83" fillId="0" borderId="22"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8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38" fontId="23" fillId="0" borderId="0"/>
    <xf numFmtId="40" fontId="23" fillId="0" borderId="0"/>
    <xf numFmtId="0" fontId="54" fillId="0" borderId="0" applyNumberFormat="0" applyFill="0" applyBorder="0" applyAlignment="0" applyProtection="0">
      <alignment vertical="top"/>
      <protection locked="0"/>
    </xf>
    <xf numFmtId="0" fontId="85" fillId="0" borderId="0" applyNumberFormat="0" applyFill="0" applyBorder="0" applyAlignment="0" applyProtection="0"/>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10" fontId="22" fillId="61" borderId="24" applyNumberFormat="0" applyBorder="0" applyAlignment="0" applyProtection="0"/>
    <xf numFmtId="10" fontId="22" fillId="61" borderId="24" applyNumberFormat="0" applyBorder="0" applyAlignment="0" applyProtection="0"/>
    <xf numFmtId="0" fontId="31" fillId="38" borderId="12" applyNumberFormat="0" applyAlignment="0" applyProtection="0"/>
    <xf numFmtId="0" fontId="31" fillId="38" borderId="12" applyNumberFormat="0" applyAlignment="0" applyProtection="0"/>
    <xf numFmtId="0" fontId="31" fillId="38" borderId="13" applyNumberFormat="0" applyAlignment="0" applyProtection="0"/>
    <xf numFmtId="0" fontId="31" fillId="38" borderId="12" applyNumberFormat="0" applyAlignment="0" applyProtection="0"/>
    <xf numFmtId="0" fontId="86" fillId="38" borderId="12" applyNumberFormat="0" applyAlignment="0" applyProtection="0"/>
    <xf numFmtId="0" fontId="31" fillId="38" borderId="13" applyNumberFormat="0" applyAlignment="0" applyProtection="0"/>
    <xf numFmtId="0" fontId="31" fillId="38" borderId="13" applyNumberFormat="0" applyAlignment="0" applyProtection="0"/>
    <xf numFmtId="0" fontId="86" fillId="38" borderId="12" applyNumberFormat="0" applyAlignment="0" applyProtection="0"/>
    <xf numFmtId="0" fontId="31" fillId="38" borderId="13" applyNumberFormat="0" applyAlignment="0" applyProtection="0"/>
    <xf numFmtId="0" fontId="31" fillId="38" borderId="12" applyNumberFormat="0" applyAlignment="0" applyProtection="0"/>
    <xf numFmtId="0" fontId="31" fillId="38" borderId="12" applyNumberFormat="0" applyAlignment="0" applyProtection="0"/>
    <xf numFmtId="0" fontId="31" fillId="38" borderId="12" applyNumberFormat="0" applyAlignment="0" applyProtection="0"/>
    <xf numFmtId="0" fontId="31" fillId="38" borderId="12" applyNumberFormat="0" applyAlignment="0" applyProtection="0"/>
    <xf numFmtId="0" fontId="31" fillId="38" borderId="12" applyNumberFormat="0" applyAlignment="0" applyProtection="0"/>
    <xf numFmtId="0" fontId="86" fillId="38" borderId="12" applyNumberFormat="0" applyAlignment="0" applyProtection="0"/>
    <xf numFmtId="41" fontId="46" fillId="62" borderId="25">
      <alignment horizontal="left"/>
      <protection locked="0"/>
    </xf>
    <xf numFmtId="0" fontId="22" fillId="60" borderId="0"/>
    <xf numFmtId="0" fontId="22" fillId="60" borderId="0"/>
    <xf numFmtId="0" fontId="32" fillId="0" borderId="26" applyNumberFormat="0" applyFill="0" applyAlignment="0" applyProtection="0"/>
    <xf numFmtId="0" fontId="32" fillId="0" borderId="26" applyNumberFormat="0" applyFill="0" applyAlignment="0" applyProtection="0"/>
    <xf numFmtId="0" fontId="32" fillId="0" borderId="26" applyNumberFormat="0" applyFill="0" applyAlignment="0" applyProtection="0"/>
    <xf numFmtId="0" fontId="87" fillId="0" borderId="26" applyNumberFormat="0" applyFill="0" applyAlignment="0" applyProtection="0"/>
    <xf numFmtId="0" fontId="32" fillId="0" borderId="26" applyNumberFormat="0" applyFill="0" applyAlignment="0" applyProtection="0"/>
    <xf numFmtId="0" fontId="87" fillId="0" borderId="26" applyNumberFormat="0" applyFill="0" applyAlignment="0" applyProtection="0"/>
    <xf numFmtId="0" fontId="32" fillId="0" borderId="26" applyNumberFormat="0" applyFill="0" applyAlignment="0" applyProtection="0"/>
    <xf numFmtId="0" fontId="87" fillId="0" borderId="26" applyNumberFormat="0" applyFill="0" applyAlignment="0" applyProtection="0"/>
    <xf numFmtId="44" fontId="19" fillId="0" borderId="27" applyNumberFormat="0" applyFont="0" applyAlignment="0">
      <alignment horizontal="center"/>
    </xf>
    <xf numFmtId="44" fontId="19" fillId="0" borderId="28" applyNumberFormat="0" applyFont="0" applyAlignment="0">
      <alignment horizontal="center"/>
    </xf>
    <xf numFmtId="0" fontId="71" fillId="0" borderId="0" applyFont="0" applyFill="0" applyBorder="0" applyAlignment="0" applyProtection="0">
      <alignment horizontal="right"/>
    </xf>
    <xf numFmtId="0" fontId="33" fillId="33" borderId="0" applyNumberFormat="0" applyBorder="0" applyAlignment="0" applyProtection="0"/>
    <xf numFmtId="0" fontId="33" fillId="33" borderId="0" applyNumberFormat="0" applyBorder="0" applyAlignment="0" applyProtection="0"/>
    <xf numFmtId="0" fontId="33" fillId="33" borderId="0" applyNumberFormat="0" applyBorder="0" applyAlignment="0" applyProtection="0"/>
    <xf numFmtId="0" fontId="88" fillId="33" borderId="0" applyNumberFormat="0" applyBorder="0" applyAlignment="0" applyProtection="0"/>
    <xf numFmtId="0" fontId="33" fillId="33" borderId="0" applyNumberFormat="0" applyBorder="0" applyAlignment="0" applyProtection="0"/>
    <xf numFmtId="0" fontId="88" fillId="33" borderId="0" applyNumberFormat="0" applyBorder="0" applyAlignment="0" applyProtection="0"/>
    <xf numFmtId="0" fontId="88" fillId="33" borderId="0" applyNumberFormat="0" applyBorder="0" applyAlignment="0" applyProtection="0"/>
    <xf numFmtId="0" fontId="88" fillId="33" borderId="0" applyNumberFormat="0" applyBorder="0" applyAlignment="0" applyProtection="0"/>
    <xf numFmtId="37" fontId="47" fillId="0" borderId="0"/>
    <xf numFmtId="168" fontId="48"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4" fillId="0" borderId="0"/>
    <xf numFmtId="0" fontId="24" fillId="0" borderId="0"/>
    <xf numFmtId="0" fontId="2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4" fillId="0" borderId="0"/>
    <xf numFmtId="0" fontId="24" fillId="0" borderId="0"/>
    <xf numFmtId="0" fontId="24" fillId="0" borderId="0"/>
    <xf numFmtId="0" fontId="21" fillId="0" borderId="0"/>
    <xf numFmtId="0" fontId="21" fillId="0" borderId="0"/>
    <xf numFmtId="0" fontId="24" fillId="0" borderId="0"/>
    <xf numFmtId="0" fontId="24" fillId="0" borderId="0"/>
    <xf numFmtId="0" fontId="24" fillId="0" borderId="0"/>
    <xf numFmtId="0" fontId="21" fillId="0" borderId="0"/>
    <xf numFmtId="0" fontId="2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21" fillId="0" borderId="0"/>
    <xf numFmtId="0" fontId="21" fillId="0" borderId="0"/>
    <xf numFmtId="0" fontId="21" fillId="0" borderId="0"/>
    <xf numFmtId="0" fontId="21" fillId="0" borderId="0"/>
    <xf numFmtId="0" fontId="1" fillId="0" borderId="0"/>
    <xf numFmtId="0" fontId="24" fillId="0" borderId="0"/>
    <xf numFmtId="0" fontId="24" fillId="0" borderId="0"/>
    <xf numFmtId="0" fontId="2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1" fillId="0" borderId="0"/>
    <xf numFmtId="0" fontId="61" fillId="0" borderId="0"/>
    <xf numFmtId="0" fontId="61" fillId="0" borderId="0"/>
    <xf numFmtId="0" fontId="61" fillId="0" borderId="0"/>
    <xf numFmtId="0" fontId="61" fillId="0" borderId="0"/>
    <xf numFmtId="0" fontId="6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2" fillId="0" borderId="0"/>
    <xf numFmtId="0" fontId="89" fillId="0" borderId="0"/>
    <xf numFmtId="0" fontId="22" fillId="0" borderId="0"/>
    <xf numFmtId="0" fontId="89" fillId="0" borderId="0"/>
    <xf numFmtId="0" fontId="22" fillId="0" borderId="0"/>
    <xf numFmtId="0" fontId="21" fillId="0" borderId="0"/>
    <xf numFmtId="0" fontId="24" fillId="0" borderId="0"/>
    <xf numFmtId="0" fontId="21" fillId="0" borderId="0"/>
    <xf numFmtId="0" fontId="22" fillId="0" borderId="0"/>
    <xf numFmtId="0" fontId="21" fillId="0" borderId="0"/>
    <xf numFmtId="0" fontId="22" fillId="0" borderId="0"/>
    <xf numFmtId="0" fontId="25"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38" fillId="0" borderId="0"/>
    <xf numFmtId="0" fontId="1" fillId="0" borderId="0"/>
    <xf numFmtId="0" fontId="1" fillId="0" borderId="0"/>
    <xf numFmtId="0" fontId="24" fillId="0" borderId="0"/>
    <xf numFmtId="0" fontId="38" fillId="0" borderId="0"/>
    <xf numFmtId="0" fontId="24" fillId="0" borderId="0"/>
    <xf numFmtId="0" fontId="38" fillId="0" borderId="0"/>
    <xf numFmtId="0" fontId="25" fillId="0" borderId="0"/>
    <xf numFmtId="0" fontId="1" fillId="0" borderId="0"/>
    <xf numFmtId="0" fontId="24" fillId="0" borderId="0"/>
    <xf numFmtId="0" fontId="38" fillId="0" borderId="0"/>
    <xf numFmtId="0" fontId="24" fillId="0" borderId="0"/>
    <xf numFmtId="0" fontId="1" fillId="0" borderId="0"/>
    <xf numFmtId="0" fontId="24" fillId="0" borderId="0"/>
    <xf numFmtId="0" fontId="21" fillId="0" borderId="0"/>
    <xf numFmtId="0" fontId="21" fillId="0" borderId="0"/>
    <xf numFmtId="0" fontId="21" fillId="0" borderId="0"/>
    <xf numFmtId="0" fontId="38" fillId="0" borderId="0"/>
    <xf numFmtId="0" fontId="1" fillId="0" borderId="0"/>
    <xf numFmtId="0" fontId="25"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4" fillId="0" borderId="0"/>
    <xf numFmtId="0" fontId="24" fillId="0" borderId="0"/>
    <xf numFmtId="0" fontId="24" fillId="0" borderId="0"/>
    <xf numFmtId="0" fontId="21" fillId="0" borderId="0"/>
    <xf numFmtId="0" fontId="24"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40" borderId="29" applyNumberFormat="0" applyFont="0" applyAlignment="0" applyProtection="0"/>
    <xf numFmtId="0" fontId="21" fillId="40" borderId="29" applyNumberFormat="0" applyFont="0" applyAlignment="0" applyProtection="0"/>
    <xf numFmtId="0" fontId="21" fillId="40" borderId="13" applyNumberFormat="0" applyFont="0" applyAlignment="0" applyProtection="0"/>
    <xf numFmtId="0" fontId="21" fillId="40" borderId="13" applyNumberFormat="0" applyFont="0" applyAlignment="0" applyProtection="0"/>
    <xf numFmtId="0" fontId="21" fillId="40" borderId="13" applyNumberFormat="0" applyFont="0" applyAlignment="0" applyProtection="0"/>
    <xf numFmtId="0" fontId="21" fillId="40" borderId="29" applyNumberFormat="0" applyFont="0" applyAlignment="0" applyProtection="0"/>
    <xf numFmtId="0" fontId="25" fillId="40" borderId="29" applyNumberFormat="0" applyFont="0" applyAlignment="0" applyProtection="0"/>
    <xf numFmtId="0" fontId="34" fillId="35" borderId="30" applyNumberFormat="0" applyAlignment="0" applyProtection="0"/>
    <xf numFmtId="0" fontId="34" fillId="35" borderId="30" applyNumberFormat="0" applyAlignment="0" applyProtection="0"/>
    <xf numFmtId="0" fontId="34" fillId="48" borderId="30" applyNumberFormat="0" applyAlignment="0" applyProtection="0"/>
    <xf numFmtId="0" fontId="34" fillId="35" borderId="30" applyNumberFormat="0" applyAlignment="0" applyProtection="0"/>
    <xf numFmtId="0" fontId="90" fillId="45" borderId="30" applyNumberFormat="0" applyAlignment="0" applyProtection="0"/>
    <xf numFmtId="0" fontId="34" fillId="48" borderId="30" applyNumberFormat="0" applyAlignment="0" applyProtection="0"/>
    <xf numFmtId="0" fontId="34" fillId="48" borderId="30" applyNumberFormat="0" applyAlignment="0" applyProtection="0"/>
    <xf numFmtId="0" fontId="90" fillId="45" borderId="30" applyNumberFormat="0" applyAlignment="0" applyProtection="0"/>
    <xf numFmtId="0" fontId="34" fillId="48" borderId="30" applyNumberFormat="0" applyAlignment="0" applyProtection="0"/>
    <xf numFmtId="0" fontId="90" fillId="45" borderId="30" applyNumberFormat="0" applyAlignment="0" applyProtection="0"/>
    <xf numFmtId="1" fontId="91" fillId="0" borderId="0" applyProtection="0">
      <alignment horizontal="right" vertical="center"/>
    </xf>
    <xf numFmtId="0" fontId="39" fillId="0" borderId="0"/>
    <xf numFmtId="9" fontId="18" fillId="0" borderId="0" applyFont="0" applyFill="0" applyBorder="0" applyAlignment="0" applyProtection="0"/>
    <xf numFmtId="10"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1"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1" fillId="0" borderId="0" applyFont="0" applyFill="0" applyBorder="0" applyAlignment="0" applyProtection="0"/>
    <xf numFmtId="9" fontId="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49" fillId="0" borderId="0" applyNumberFormat="0" applyFont="0" applyFill="0" applyBorder="0" applyAlignment="0" applyProtection="0">
      <alignment horizontal="left"/>
    </xf>
    <xf numFmtId="0" fontId="49" fillId="0" borderId="0" applyNumberFormat="0" applyFont="0" applyFill="0" applyBorder="0" applyAlignment="0" applyProtection="0">
      <alignment horizontal="left"/>
    </xf>
    <xf numFmtId="0" fontId="49" fillId="0" borderId="0" applyNumberFormat="0" applyFont="0" applyFill="0" applyBorder="0" applyAlignment="0" applyProtection="0">
      <alignment horizontal="left"/>
    </xf>
    <xf numFmtId="15" fontId="49" fillId="0" borderId="0" applyFont="0" applyFill="0" applyBorder="0" applyAlignment="0" applyProtection="0"/>
    <xf numFmtId="15" fontId="49" fillId="0" borderId="0" applyFont="0" applyFill="0" applyBorder="0" applyAlignment="0" applyProtection="0"/>
    <xf numFmtId="15" fontId="49" fillId="0" borderId="0" applyFont="0" applyFill="0" applyBorder="0" applyAlignment="0" applyProtection="0"/>
    <xf numFmtId="4" fontId="49" fillId="0" borderId="0" applyFont="0" applyFill="0" applyBorder="0" applyAlignment="0" applyProtection="0"/>
    <xf numFmtId="4" fontId="49" fillId="0" borderId="0" applyFont="0" applyFill="0" applyBorder="0" applyAlignment="0" applyProtection="0"/>
    <xf numFmtId="4" fontId="49" fillId="0" borderId="0" applyFont="0" applyFill="0" applyBorder="0" applyAlignment="0" applyProtection="0"/>
    <xf numFmtId="0" fontId="20" fillId="0" borderId="31">
      <alignment horizontal="center"/>
    </xf>
    <xf numFmtId="0" fontId="20" fillId="0" borderId="31">
      <alignment horizontal="center"/>
    </xf>
    <xf numFmtId="0" fontId="20" fillId="0" borderId="31">
      <alignment horizontal="center"/>
    </xf>
    <xf numFmtId="0" fontId="20" fillId="0" borderId="31">
      <alignment horizontal="center"/>
    </xf>
    <xf numFmtId="0" fontId="20" fillId="0" borderId="31">
      <alignment horizontal="center"/>
    </xf>
    <xf numFmtId="0" fontId="20" fillId="0" borderId="31">
      <alignment horizontal="center"/>
    </xf>
    <xf numFmtId="0" fontId="20" fillId="0" borderId="31">
      <alignment horizontal="center"/>
    </xf>
    <xf numFmtId="3" fontId="49" fillId="0" borderId="0" applyFont="0" applyFill="0" applyBorder="0" applyAlignment="0" applyProtection="0"/>
    <xf numFmtId="3" fontId="49" fillId="0" borderId="0" applyFont="0" applyFill="0" applyBorder="0" applyAlignment="0" applyProtection="0"/>
    <xf numFmtId="3" fontId="49" fillId="0" borderId="0" applyFont="0" applyFill="0" applyBorder="0" applyAlignment="0" applyProtection="0"/>
    <xf numFmtId="0" fontId="49" fillId="63" borderId="0" applyNumberFormat="0" applyFont="0" applyBorder="0" applyAlignment="0" applyProtection="0"/>
    <xf numFmtId="0" fontId="49" fillId="63" borderId="0" applyNumberFormat="0" applyFont="0" applyBorder="0" applyAlignment="0" applyProtection="0"/>
    <xf numFmtId="0" fontId="49" fillId="63" borderId="0" applyNumberFormat="0" applyFont="0" applyBorder="0" applyAlignment="0" applyProtection="0"/>
    <xf numFmtId="178" fontId="75" fillId="0" borderId="32" applyFont="0" applyFill="0" applyBorder="0" applyAlignment="0" applyProtection="0"/>
    <xf numFmtId="0" fontId="92" fillId="0" borderId="0" applyNumberFormat="0" applyFill="0" applyBorder="0" applyAlignment="0" applyProtection="0"/>
    <xf numFmtId="14" fontId="50" fillId="0" borderId="0" applyNumberFormat="0" applyFill="0" applyBorder="0" applyAlignment="0" applyProtection="0">
      <alignment horizontal="left"/>
    </xf>
    <xf numFmtId="165" fontId="21" fillId="0" borderId="0" applyFont="0" applyFill="0" applyAlignment="0">
      <alignment horizontal="right"/>
    </xf>
    <xf numFmtId="0" fontId="93" fillId="60" borderId="0" applyNumberFormat="0" applyFont="0" applyBorder="0" applyAlignment="0" applyProtection="0"/>
    <xf numFmtId="39" fontId="21" fillId="64" borderId="0"/>
    <xf numFmtId="38" fontId="22" fillId="0" borderId="33"/>
    <xf numFmtId="38" fontId="22" fillId="0" borderId="33"/>
    <xf numFmtId="38" fontId="23" fillId="0" borderId="34"/>
    <xf numFmtId="39" fontId="50" fillId="65" borderId="0"/>
    <xf numFmtId="166" fontId="21" fillId="0" borderId="0">
      <alignment horizontal="left" wrapText="1"/>
    </xf>
    <xf numFmtId="40" fontId="51" fillId="0" borderId="0" applyBorder="0">
      <alignment horizontal="right"/>
    </xf>
    <xf numFmtId="0" fontId="94" fillId="0" borderId="0" applyBorder="0" applyProtection="0">
      <alignment vertical="center"/>
    </xf>
    <xf numFmtId="0" fontId="94" fillId="0" borderId="35" applyBorder="0" applyProtection="0">
      <alignment horizontal="right" vertical="center"/>
    </xf>
    <xf numFmtId="0" fontId="95" fillId="66" borderId="0" applyBorder="0" applyProtection="0">
      <alignment horizontal="centerContinuous" vertical="center"/>
    </xf>
    <xf numFmtId="0" fontId="95" fillId="67" borderId="35" applyBorder="0" applyProtection="0">
      <alignment horizontal="centerContinuous" vertical="center"/>
    </xf>
    <xf numFmtId="0" fontId="23" fillId="0" borderId="0" applyBorder="0" applyProtection="0">
      <alignment horizontal="left"/>
    </xf>
    <xf numFmtId="0" fontId="96" fillId="0" borderId="0" applyFill="0" applyBorder="0" applyProtection="0">
      <alignment horizontal="left"/>
    </xf>
    <xf numFmtId="0" fontId="22" fillId="0" borderId="32" applyFill="0" applyBorder="0" applyProtection="0">
      <alignment horizontal="left" vertical="top"/>
    </xf>
    <xf numFmtId="0" fontId="52" fillId="0" borderId="0" applyNumberFormat="0" applyFill="0" applyBorder="0" applyAlignment="0" applyProtection="0"/>
    <xf numFmtId="0" fontId="52" fillId="0" borderId="0" applyNumberFormat="0" applyFill="0" applyBorder="0" applyAlignment="0" applyProtection="0"/>
    <xf numFmtId="0" fontId="55" fillId="0" borderId="0" applyNumberFormat="0" applyFill="0" applyBorder="0" applyAlignment="0" applyProtection="0"/>
    <xf numFmtId="0" fontId="52"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19" fillId="61" borderId="0">
      <alignment horizontal="left" wrapText="1"/>
    </xf>
    <xf numFmtId="0" fontId="53" fillId="0" borderId="0">
      <alignment horizontal="left" vertical="center"/>
    </xf>
    <xf numFmtId="0" fontId="35" fillId="0" borderId="37" applyNumberFormat="0" applyFill="0" applyAlignment="0" applyProtection="0"/>
    <xf numFmtId="0" fontId="35" fillId="0" borderId="37" applyNumberFormat="0" applyFill="0" applyAlignment="0" applyProtection="0"/>
    <xf numFmtId="0" fontId="28" fillId="0" borderId="37" applyNumberFormat="0" applyFill="0" applyAlignment="0" applyProtection="0"/>
    <xf numFmtId="0" fontId="35" fillId="0" borderId="37" applyNumberFormat="0" applyFill="0" applyAlignment="0" applyProtection="0"/>
    <xf numFmtId="0" fontId="59" fillId="0" borderId="36" applyNumberFormat="0" applyFill="0" applyAlignment="0" applyProtection="0"/>
    <xf numFmtId="0" fontId="35" fillId="0" borderId="37" applyNumberFormat="0" applyFill="0" applyAlignment="0" applyProtection="0"/>
    <xf numFmtId="0" fontId="28" fillId="0" borderId="37" applyNumberFormat="0" applyFill="0" applyAlignment="0" applyProtection="0"/>
    <xf numFmtId="0" fontId="28" fillId="0" borderId="37" applyNumberFormat="0" applyFill="0" applyAlignment="0" applyProtection="0"/>
    <xf numFmtId="0" fontId="59" fillId="0" borderId="36" applyNumberFormat="0" applyFill="0" applyAlignment="0" applyProtection="0"/>
    <xf numFmtId="0" fontId="28" fillId="0" borderId="37" applyNumberFormat="0" applyFill="0" applyAlignment="0" applyProtection="0"/>
    <xf numFmtId="0" fontId="59" fillId="0" borderId="36" applyNumberFormat="0" applyFill="0" applyAlignment="0" applyProtection="0"/>
    <xf numFmtId="37" fontId="21" fillId="0" borderId="0"/>
    <xf numFmtId="0" fontId="3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18" fillId="0" borderId="0"/>
    <xf numFmtId="0" fontId="2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43" fontId="100" fillId="0" borderId="0" applyFont="0" applyFill="0" applyBorder="0" applyAlignment="0" applyProtection="0"/>
    <xf numFmtId="43" fontId="100" fillId="0" borderId="0" applyFont="0" applyFill="0" applyBorder="0" applyAlignment="0" applyProtection="0"/>
    <xf numFmtId="43" fontId="21" fillId="0" borderId="0" applyFont="0" applyFill="0" applyBorder="0" applyAlignment="0" applyProtection="0"/>
    <xf numFmtId="9" fontId="18" fillId="0" borderId="0" applyFont="0" applyFill="0" applyBorder="0" applyAlignment="0" applyProtection="0"/>
    <xf numFmtId="43" fontId="21" fillId="0" borderId="0" applyFont="0" applyFill="0" applyBorder="0" applyAlignment="0" applyProtection="0"/>
    <xf numFmtId="43" fontId="10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43" fontId="24"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1"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0" fontId="61"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61" fillId="0" borderId="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85" fillId="0" borderId="0" applyNumberFormat="0" applyFill="0" applyBorder="0" applyAlignment="0" applyProtection="0"/>
    <xf numFmtId="0" fontId="101" fillId="0" borderId="0" applyNumberFormat="0" applyFill="0" applyBorder="0" applyAlignment="0" applyProtection="0"/>
    <xf numFmtId="0" fontId="54"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101" fillId="0" borderId="0" applyNumberFormat="0" applyFill="0" applyBorder="0" applyAlignment="0" applyProtection="0"/>
    <xf numFmtId="0" fontId="9" fillId="5" borderId="4" applyNumberFormat="0" applyAlignment="0" applyProtection="0"/>
    <xf numFmtId="0" fontId="61" fillId="0" borderId="0"/>
    <xf numFmtId="0" fontId="12" fillId="0" borderId="6" applyNumberFormat="0" applyFill="0" applyAlignment="0" applyProtection="0"/>
    <xf numFmtId="0" fontId="8" fillId="4" borderId="0" applyNumberFormat="0" applyBorder="0" applyAlignment="0" applyProtection="0"/>
    <xf numFmtId="0" fontId="24" fillId="0" borderId="0"/>
    <xf numFmtId="0" fontId="1" fillId="0" borderId="0"/>
    <xf numFmtId="0" fontId="61" fillId="0" borderId="0"/>
    <xf numFmtId="0" fontId="61" fillId="0" borderId="0"/>
    <xf numFmtId="0" fontId="24" fillId="0" borderId="0"/>
    <xf numFmtId="0" fontId="1" fillId="0" borderId="0"/>
    <xf numFmtId="0" fontId="24" fillId="0" borderId="0"/>
    <xf numFmtId="0" fontId="1" fillId="0" borderId="0"/>
    <xf numFmtId="0" fontId="24" fillId="0" borderId="0"/>
    <xf numFmtId="0" fontId="1" fillId="0" borderId="0"/>
    <xf numFmtId="0" fontId="24" fillId="0" borderId="0"/>
    <xf numFmtId="0" fontId="1" fillId="0" borderId="0"/>
    <xf numFmtId="0" fontId="24" fillId="0" borderId="0"/>
    <xf numFmtId="0" fontId="1" fillId="0" borderId="0"/>
    <xf numFmtId="0" fontId="61" fillId="0" borderId="0"/>
    <xf numFmtId="0" fontId="61" fillId="0" borderId="0"/>
    <xf numFmtId="0" fontId="21" fillId="0" borderId="0"/>
    <xf numFmtId="0" fontId="24" fillId="0" borderId="0"/>
    <xf numFmtId="0" fontId="1" fillId="0" borderId="0"/>
    <xf numFmtId="0" fontId="24"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1" fillId="0" borderId="0"/>
    <xf numFmtId="0" fontId="21" fillId="0" borderId="0"/>
    <xf numFmtId="0" fontId="21" fillId="0" borderId="0"/>
    <xf numFmtId="0" fontId="24" fillId="0" borderId="0"/>
    <xf numFmtId="0" fontId="1" fillId="0" borderId="0"/>
    <xf numFmtId="9" fontId="18" fillId="0" borderId="0" applyFont="0" applyFill="0" applyBorder="0" applyAlignment="0" applyProtection="0"/>
    <xf numFmtId="0" fontId="1" fillId="0" borderId="0"/>
    <xf numFmtId="0" fontId="24" fillId="0" borderId="0"/>
    <xf numFmtId="0" fontId="1" fillId="0" borderId="0"/>
    <xf numFmtId="0" fontId="1" fillId="0" borderId="0"/>
    <xf numFmtId="0" fontId="24" fillId="0" borderId="0"/>
    <xf numFmtId="0" fontId="1" fillId="0" borderId="0"/>
    <xf numFmtId="0" fontId="1" fillId="0" borderId="0"/>
    <xf numFmtId="0" fontId="1" fillId="0" borderId="0"/>
    <xf numFmtId="0" fontId="24" fillId="0" borderId="0"/>
    <xf numFmtId="0" fontId="1" fillId="0" borderId="0"/>
    <xf numFmtId="0" fontId="1" fillId="0" borderId="0"/>
    <xf numFmtId="0" fontId="21" fillId="0" borderId="0"/>
    <xf numFmtId="0" fontId="21" fillId="0" borderId="0"/>
    <xf numFmtId="0" fontId="61" fillId="0" borderId="0"/>
    <xf numFmtId="0" fontId="61" fillId="0" borderId="0"/>
    <xf numFmtId="0" fontId="24" fillId="0" borderId="0"/>
    <xf numFmtId="0" fontId="1" fillId="0" borderId="0"/>
    <xf numFmtId="0" fontId="24" fillId="0" borderId="0"/>
    <xf numFmtId="0" fontId="1" fillId="0" borderId="0"/>
    <xf numFmtId="0" fontId="24" fillId="0" borderId="0"/>
    <xf numFmtId="0" fontId="1" fillId="0" borderId="0"/>
    <xf numFmtId="0" fontId="24" fillId="0" borderId="0"/>
    <xf numFmtId="0" fontId="1" fillId="0" borderId="0"/>
    <xf numFmtId="0" fontId="24" fillId="0" borderId="0"/>
    <xf numFmtId="0" fontId="1" fillId="0" borderId="0"/>
    <xf numFmtId="0" fontId="25" fillId="40" borderId="29" applyNumberFormat="0" applyFont="0" applyAlignment="0" applyProtection="0"/>
    <xf numFmtId="0" fontId="25" fillId="8" borderId="8" applyNumberFormat="0" applyFont="0" applyAlignment="0" applyProtection="0"/>
    <xf numFmtId="0" fontId="21" fillId="40" borderId="29" applyNumberFormat="0" applyFont="0" applyAlignment="0" applyProtection="0"/>
    <xf numFmtId="0" fontId="10" fillId="6" borderId="5" applyNumberFormat="0" applyAlignment="0" applyProtection="0"/>
    <xf numFmtId="0" fontId="61" fillId="0" borderId="0"/>
    <xf numFmtId="0" fontId="61"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61" fillId="0" borderId="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5"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8" fillId="0" borderId="0"/>
    <xf numFmtId="0" fontId="61" fillId="0" borderId="0"/>
    <xf numFmtId="0" fontId="61" fillId="0" borderId="0"/>
    <xf numFmtId="0" fontId="61" fillId="0" borderId="0"/>
    <xf numFmtId="0" fontId="61" fillId="0" borderId="0"/>
    <xf numFmtId="0" fontId="61" fillId="0" borderId="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9" fontId="21" fillId="0" borderId="0" applyFont="0" applyFill="0" applyBorder="0" applyAlignment="0" applyProtection="0"/>
    <xf numFmtId="0" fontId="105" fillId="0" borderId="0"/>
    <xf numFmtId="0" fontId="21" fillId="0" borderId="0"/>
    <xf numFmtId="0" fontId="61" fillId="0" borderId="0"/>
    <xf numFmtId="9" fontId="21" fillId="0" borderId="0" applyFont="0" applyFill="0" applyBorder="0" applyAlignment="0" applyProtection="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43" fontId="1" fillId="0" borderId="0" applyFont="0" applyFill="0" applyBorder="0" applyAlignment="0" applyProtection="0"/>
    <xf numFmtId="0" fontId="101" fillId="0" borderId="0" applyNumberFormat="0" applyFill="0" applyBorder="0" applyAlignment="0" applyProtection="0"/>
    <xf numFmtId="0" fontId="18" fillId="0" borderId="0"/>
    <xf numFmtId="0" fontId="21" fillId="0" borderId="0"/>
    <xf numFmtId="9" fontId="21" fillId="0" borderId="0" applyFont="0" applyFill="0" applyBorder="0" applyAlignment="0" applyProtection="0"/>
    <xf numFmtId="9" fontId="21" fillId="0" borderId="0" applyFont="0" applyFill="0" applyBorder="0" applyAlignment="0" applyProtection="0"/>
    <xf numFmtId="9" fontId="1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1" fillId="0" borderId="0" applyFont="0" applyFill="0" applyBorder="0" applyAlignment="0" applyProtection="0"/>
    <xf numFmtId="0" fontId="18" fillId="0" borderId="0"/>
    <xf numFmtId="9" fontId="21" fillId="0" borderId="0" applyFont="0" applyFill="0" applyBorder="0" applyAlignment="0" applyProtection="0"/>
    <xf numFmtId="9" fontId="18"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8" fillId="0" borderId="0" applyFont="0" applyFill="0" applyBorder="0" applyAlignment="0" applyProtection="0"/>
    <xf numFmtId="0" fontId="21" fillId="0" borderId="0"/>
    <xf numFmtId="0" fontId="1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166" fontId="18" fillId="0" borderId="0">
      <alignment horizontal="left" wrapText="1"/>
    </xf>
    <xf numFmtId="164" fontId="18" fillId="0" borderId="0">
      <alignment horizontal="left" wrapText="1"/>
    </xf>
    <xf numFmtId="166" fontId="18" fillId="0" borderId="0">
      <alignment horizontal="left" wrapText="1"/>
    </xf>
    <xf numFmtId="166" fontId="18" fillId="0" borderId="0">
      <alignment horizontal="left" wrapText="1"/>
    </xf>
    <xf numFmtId="164" fontId="18" fillId="0" borderId="0">
      <alignment horizontal="left" wrapText="1"/>
    </xf>
    <xf numFmtId="166" fontId="18" fillId="0" borderId="0">
      <alignment horizontal="left" wrapText="1"/>
    </xf>
    <xf numFmtId="164" fontId="18" fillId="0" borderId="0">
      <alignment horizontal="left" wrapText="1"/>
    </xf>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3"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5" fontId="18" fillId="0" borderId="0" applyFont="0" applyFill="0" applyBorder="0" applyAlignment="0" applyProtection="0"/>
    <xf numFmtId="166"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0" borderId="29" applyNumberFormat="0" applyFont="0" applyAlignment="0" applyProtection="0"/>
    <xf numFmtId="0" fontId="18" fillId="40" borderId="29" applyNumberFormat="0" applyFont="0" applyAlignment="0" applyProtection="0"/>
    <xf numFmtId="0" fontId="18" fillId="40" borderId="13" applyNumberFormat="0" applyFont="0" applyAlignment="0" applyProtection="0"/>
    <xf numFmtId="0" fontId="18" fillId="40" borderId="13" applyNumberFormat="0" applyFont="0" applyAlignment="0" applyProtection="0"/>
    <xf numFmtId="0" fontId="18" fillId="40" borderId="29" applyNumberFormat="0" applyFont="0" applyAlignment="0" applyProtection="0"/>
    <xf numFmtId="10"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165" fontId="18" fillId="0" borderId="0" applyFont="0" applyFill="0" applyAlignment="0">
      <alignment horizontal="right"/>
    </xf>
    <xf numFmtId="39" fontId="18" fillId="64" borderId="0"/>
    <xf numFmtId="166" fontId="18" fillId="0" borderId="0">
      <alignment horizontal="left" wrapText="1"/>
    </xf>
    <xf numFmtId="37"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43" fontId="18" fillId="0" borderId="0" applyFont="0" applyFill="0" applyBorder="0" applyAlignment="0" applyProtection="0"/>
    <xf numFmtId="9"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0" borderId="29" applyNumberFormat="0" applyFont="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61"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xf numFmtId="0" fontId="125" fillId="0" borderId="0"/>
    <xf numFmtId="9" fontId="125" fillId="0" borderId="0" applyFont="0" applyFill="0" applyBorder="0" applyAlignment="0" applyProtection="0"/>
    <xf numFmtId="43" fontId="38" fillId="0" borderId="0" applyFont="0" applyFill="0" applyBorder="0" applyAlignment="0" applyProtection="0"/>
    <xf numFmtId="43" fontId="24" fillId="0" borderId="0" applyFont="0" applyFill="0" applyBorder="0" applyAlignment="0" applyProtection="0"/>
    <xf numFmtId="3" fontId="18" fillId="0" borderId="0" applyFont="0" applyFill="0" applyBorder="0" applyAlignment="0" applyProtection="0"/>
    <xf numFmtId="0" fontId="22" fillId="0" borderId="0"/>
    <xf numFmtId="0" fontId="87" fillId="0" borderId="56" applyNumberFormat="0" applyFill="0" applyAlignment="0" applyProtection="0"/>
    <xf numFmtId="0" fontId="87" fillId="0" borderId="56" applyNumberFormat="0" applyFill="0" applyAlignment="0" applyProtection="0"/>
    <xf numFmtId="0" fontId="87" fillId="0" borderId="56" applyNumberFormat="0" applyFill="0" applyAlignment="0" applyProtection="0"/>
    <xf numFmtId="0" fontId="32" fillId="0" borderId="56" applyNumberFormat="0" applyFill="0" applyAlignment="0" applyProtection="0"/>
    <xf numFmtId="9" fontId="18" fillId="0" borderId="0" applyFont="0" applyFill="0" applyBorder="0" applyAlignment="0" applyProtection="0"/>
    <xf numFmtId="3" fontId="18" fillId="0" borderId="0" applyFont="0" applyFill="0" applyBorder="0" applyAlignment="0" applyProtection="0"/>
    <xf numFmtId="0" fontId="32" fillId="0" borderId="56" applyNumberFormat="0" applyFill="0" applyAlignment="0" applyProtection="0"/>
    <xf numFmtId="0" fontId="32" fillId="0" borderId="56" applyNumberFormat="0" applyFill="0" applyAlignment="0" applyProtection="0"/>
    <xf numFmtId="0" fontId="32" fillId="0" borderId="56" applyNumberFormat="0" applyFill="0" applyAlignment="0" applyProtection="0"/>
    <xf numFmtId="3" fontId="18" fillId="0" borderId="0" applyFont="0" applyFill="0" applyBorder="0" applyAlignment="0" applyProtection="0"/>
    <xf numFmtId="3" fontId="18" fillId="0" borderId="0" applyFont="0" applyFill="0" applyBorder="0" applyAlignment="0" applyProtection="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0" fontId="127" fillId="0" borderId="0"/>
    <xf numFmtId="0" fontId="128" fillId="77" borderId="60" applyNumberFormat="0" applyAlignment="0" applyProtection="0"/>
    <xf numFmtId="0" fontId="128" fillId="77" borderId="60" applyNumberFormat="0" applyAlignment="0" applyProtection="0"/>
    <xf numFmtId="2" fontId="128" fillId="78" borderId="60" applyProtection="0">
      <alignment horizontal="right"/>
    </xf>
    <xf numFmtId="2" fontId="128" fillId="78" borderId="60" applyProtection="0">
      <alignment horizontal="right"/>
    </xf>
    <xf numFmtId="2" fontId="129" fillId="79" borderId="60" applyProtection="0">
      <alignment horizontal="right"/>
    </xf>
    <xf numFmtId="2" fontId="129" fillId="79" borderId="60" applyProtection="0">
      <alignment horizontal="right"/>
    </xf>
    <xf numFmtId="14" fontId="130" fillId="80" borderId="60" applyProtection="0">
      <alignment horizontal="right"/>
    </xf>
    <xf numFmtId="14" fontId="130" fillId="80" borderId="60" applyProtection="0">
      <alignment horizontal="right"/>
    </xf>
    <xf numFmtId="14" fontId="130" fillId="80" borderId="60" applyProtection="0">
      <alignment horizontal="left"/>
    </xf>
    <xf numFmtId="14" fontId="130" fillId="80" borderId="60" applyProtection="0">
      <alignment horizontal="left"/>
    </xf>
    <xf numFmtId="0" fontId="131" fillId="77" borderId="60" applyNumberFormat="0" applyProtection="0">
      <alignment horizontal="left"/>
    </xf>
    <xf numFmtId="0" fontId="131" fillId="77" borderId="60" applyNumberFormat="0" applyProtection="0">
      <alignment horizontal="left"/>
    </xf>
    <xf numFmtId="2" fontId="130" fillId="77" borderId="60" applyProtection="0"/>
    <xf numFmtId="2" fontId="130" fillId="77" borderId="60" applyProtection="0"/>
    <xf numFmtId="2" fontId="130" fillId="77" borderId="60" applyProtection="0"/>
    <xf numFmtId="2" fontId="130" fillId="77" borderId="60" applyProtection="0"/>
    <xf numFmtId="2" fontId="58" fillId="0" borderId="0" applyFill="0" applyBorder="0" applyProtection="0"/>
    <xf numFmtId="2" fontId="58" fillId="0" borderId="0" applyFill="0" applyBorder="0" applyProtection="0"/>
    <xf numFmtId="2" fontId="129" fillId="0" borderId="0" applyFill="0" applyBorder="0" applyProtection="0"/>
    <xf numFmtId="2" fontId="129" fillId="0" borderId="0" applyFill="0" applyBorder="0" applyProtection="0"/>
    <xf numFmtId="2" fontId="129" fillId="78" borderId="60" applyProtection="0"/>
    <xf numFmtId="2" fontId="129" fillId="78" borderId="60" applyProtection="0"/>
    <xf numFmtId="2" fontId="129" fillId="81" borderId="60" applyProtection="0"/>
    <xf numFmtId="2" fontId="129" fillId="81" borderId="60" applyProtection="0"/>
    <xf numFmtId="2" fontId="129" fillId="79" borderId="60" applyProtection="0"/>
    <xf numFmtId="2" fontId="129" fillId="79" borderId="60" applyProtection="0"/>
    <xf numFmtId="2" fontId="129" fillId="79" borderId="60" applyProtection="0">
      <alignment horizontal="center"/>
    </xf>
    <xf numFmtId="2" fontId="129" fillId="79" borderId="60" applyProtection="0">
      <alignment horizontal="center"/>
    </xf>
    <xf numFmtId="2" fontId="129" fillId="81" borderId="60" applyProtection="0">
      <alignment horizontal="center"/>
    </xf>
    <xf numFmtId="2" fontId="129" fillId="81" borderId="60" applyProtection="0">
      <alignment horizontal="center"/>
    </xf>
    <xf numFmtId="43" fontId="18" fillId="0" borderId="0" applyFont="0" applyFill="0" applyBorder="0" applyAlignment="0" applyProtection="0"/>
    <xf numFmtId="9" fontId="18" fillId="0" borderId="0" applyFont="0" applyFill="0" applyBorder="0" applyAlignment="0" applyProtection="0"/>
    <xf numFmtId="0" fontId="128" fillId="77" borderId="60" applyNumberFormat="0" applyAlignment="0" applyProtection="0"/>
    <xf numFmtId="2" fontId="128" fillId="78" borderId="60" applyProtection="0">
      <alignment horizontal="right"/>
    </xf>
    <xf numFmtId="2" fontId="129" fillId="79" borderId="60" applyProtection="0">
      <alignment horizontal="right"/>
    </xf>
    <xf numFmtId="14" fontId="130" fillId="80" borderId="60" applyProtection="0">
      <alignment horizontal="right"/>
    </xf>
    <xf numFmtId="14" fontId="130" fillId="80" borderId="60" applyProtection="0">
      <alignment horizontal="left"/>
    </xf>
    <xf numFmtId="0" fontId="131" fillId="77" borderId="60" applyNumberFormat="0" applyProtection="0">
      <alignment horizontal="left"/>
    </xf>
    <xf numFmtId="2" fontId="130" fillId="77" borderId="60" applyProtection="0"/>
    <xf numFmtId="2" fontId="130" fillId="77" borderId="60" applyProtection="0"/>
    <xf numFmtId="2" fontId="58" fillId="0" borderId="0" applyFill="0" applyBorder="0" applyProtection="0"/>
    <xf numFmtId="2" fontId="129" fillId="0" borderId="0" applyFill="0" applyBorder="0" applyProtection="0"/>
    <xf numFmtId="2" fontId="129" fillId="78" borderId="60" applyProtection="0"/>
    <xf numFmtId="2" fontId="129" fillId="81" borderId="60" applyProtection="0"/>
    <xf numFmtId="2" fontId="129" fillId="79" borderId="60" applyProtection="0"/>
    <xf numFmtId="2" fontId="129" fillId="79" borderId="60" applyProtection="0">
      <alignment horizontal="center"/>
    </xf>
    <xf numFmtId="2" fontId="129" fillId="81" borderId="60" applyProtection="0">
      <alignment horizontal="center"/>
    </xf>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3" fontId="18" fillId="0" borderId="0" applyFont="0" applyFill="0" applyBorder="0" applyAlignment="0" applyProtection="0"/>
    <xf numFmtId="0" fontId="18" fillId="0" borderId="0"/>
    <xf numFmtId="3" fontId="18" fillId="0" borderId="0" applyFont="0" applyFill="0" applyBorder="0" applyAlignment="0" applyProtection="0"/>
    <xf numFmtId="9" fontId="18" fillId="0" borderId="0" applyFont="0" applyFill="0" applyBorder="0" applyAlignment="0" applyProtection="0"/>
  </cellStyleXfs>
  <cellXfs count="700">
    <xf numFmtId="0" fontId="0" fillId="0" borderId="0" xfId="0"/>
    <xf numFmtId="0" fontId="16" fillId="70" borderId="0" xfId="0" applyFont="1" applyFill="1" applyBorder="1" applyAlignment="1">
      <alignment horizontal="right"/>
    </xf>
    <xf numFmtId="0" fontId="0" fillId="70" borderId="0" xfId="0" applyFill="1" applyBorder="1"/>
    <xf numFmtId="0" fontId="0" fillId="0" borderId="0" xfId="0" applyBorder="1"/>
    <xf numFmtId="0" fontId="0" fillId="70" borderId="0" xfId="0" applyFont="1" applyFill="1" applyBorder="1"/>
    <xf numFmtId="0" fontId="16" fillId="70" borderId="0" xfId="0" applyFont="1" applyFill="1" applyBorder="1"/>
    <xf numFmtId="0" fontId="0" fillId="70" borderId="35" xfId="0" applyFill="1" applyBorder="1"/>
    <xf numFmtId="0" fontId="0" fillId="0" borderId="0" xfId="0"/>
    <xf numFmtId="0" fontId="0" fillId="70" borderId="0" xfId="0" applyFill="1"/>
    <xf numFmtId="0" fontId="106" fillId="69" borderId="0" xfId="0" applyFont="1" applyFill="1" applyBorder="1" applyAlignment="1">
      <alignment horizontal="left" wrapText="1"/>
    </xf>
    <xf numFmtId="0" fontId="0" fillId="73" borderId="35" xfId="0" applyFill="1" applyBorder="1"/>
    <xf numFmtId="0" fontId="16" fillId="73" borderId="0" xfId="0" applyFont="1" applyFill="1" applyBorder="1"/>
    <xf numFmtId="0" fontId="104" fillId="73" borderId="0" xfId="0" applyFont="1" applyFill="1" applyBorder="1"/>
    <xf numFmtId="0" fontId="18" fillId="73" borderId="32" xfId="1562" applyFill="1" applyBorder="1"/>
    <xf numFmtId="0" fontId="0" fillId="73" borderId="0" xfId="0" applyFill="1" applyBorder="1"/>
    <xf numFmtId="0" fontId="0" fillId="73" borderId="32" xfId="0" applyFill="1" applyBorder="1"/>
    <xf numFmtId="0" fontId="16" fillId="73" borderId="32" xfId="0" applyFont="1" applyFill="1" applyBorder="1" applyAlignment="1">
      <alignment horizontal="right"/>
    </xf>
    <xf numFmtId="0" fontId="16" fillId="73" borderId="0" xfId="0" applyFont="1" applyFill="1" applyBorder="1" applyAlignment="1">
      <alignment horizontal="right"/>
    </xf>
    <xf numFmtId="0" fontId="16" fillId="73" borderId="0" xfId="0" applyFont="1" applyFill="1" applyBorder="1" applyAlignment="1">
      <alignment horizontal="center"/>
    </xf>
    <xf numFmtId="0" fontId="16" fillId="73" borderId="40" xfId="0" applyFont="1" applyFill="1" applyBorder="1" applyAlignment="1">
      <alignment horizontal="center"/>
    </xf>
    <xf numFmtId="0" fontId="16" fillId="73" borderId="38" xfId="0" applyFont="1" applyFill="1" applyBorder="1" applyAlignment="1"/>
    <xf numFmtId="0" fontId="16" fillId="73" borderId="34" xfId="0" applyFont="1" applyFill="1" applyBorder="1" applyAlignment="1"/>
    <xf numFmtId="0" fontId="16" fillId="73" borderId="32" xfId="0" applyFont="1" applyFill="1" applyBorder="1"/>
    <xf numFmtId="0" fontId="1" fillId="0" borderId="0" xfId="0" applyFont="1"/>
    <xf numFmtId="0" fontId="111" fillId="73" borderId="32" xfId="0" applyFont="1" applyFill="1" applyBorder="1" applyAlignment="1">
      <alignment horizontal="right"/>
    </xf>
    <xf numFmtId="0" fontId="111" fillId="73" borderId="0" xfId="0" applyFont="1" applyFill="1" applyBorder="1" applyAlignment="1">
      <alignment horizontal="right"/>
    </xf>
    <xf numFmtId="0" fontId="1" fillId="69" borderId="0" xfId="0" applyFont="1" applyFill="1" applyBorder="1"/>
    <xf numFmtId="0" fontId="114" fillId="70" borderId="0" xfId="1279" applyFont="1" applyFill="1" applyBorder="1" applyAlignment="1">
      <alignment horizontal="center"/>
    </xf>
    <xf numFmtId="0" fontId="114" fillId="70" borderId="40" xfId="1279" applyFont="1" applyFill="1" applyBorder="1" applyAlignment="1">
      <alignment horizontal="center"/>
    </xf>
    <xf numFmtId="0" fontId="1" fillId="70" borderId="0" xfId="0" applyFont="1" applyFill="1" applyBorder="1"/>
    <xf numFmtId="0" fontId="1" fillId="70" borderId="40" xfId="0" applyFont="1" applyFill="1" applyBorder="1"/>
    <xf numFmtId="0" fontId="1" fillId="69" borderId="0" xfId="0" applyFont="1" applyFill="1" applyBorder="1" applyAlignment="1">
      <alignment horizontal="center"/>
    </xf>
    <xf numFmtId="0" fontId="1" fillId="70" borderId="0" xfId="0" applyFont="1" applyFill="1"/>
    <xf numFmtId="0" fontId="1" fillId="68" borderId="0" xfId="0" applyFont="1" applyFill="1" applyBorder="1" applyAlignment="1">
      <alignment horizontal="center"/>
    </xf>
    <xf numFmtId="0" fontId="1" fillId="71" borderId="0" xfId="0" applyFont="1" applyFill="1" applyBorder="1" applyAlignment="1">
      <alignment horizontal="center"/>
    </xf>
    <xf numFmtId="6" fontId="1" fillId="69" borderId="0" xfId="0" applyNumberFormat="1" applyFont="1" applyFill="1" applyBorder="1" applyAlignment="1">
      <alignment horizontal="center"/>
    </xf>
    <xf numFmtId="1" fontId="1" fillId="69" borderId="0" xfId="0" applyNumberFormat="1" applyFont="1" applyFill="1" applyBorder="1" applyAlignment="1">
      <alignment horizontal="center"/>
    </xf>
    <xf numFmtId="0" fontId="1" fillId="73" borderId="0" xfId="0" applyFont="1" applyFill="1" applyBorder="1" applyAlignment="1">
      <alignment horizontal="center"/>
    </xf>
    <xf numFmtId="0" fontId="1" fillId="73" borderId="35" xfId="0" applyFont="1" applyFill="1" applyBorder="1" applyAlignment="1">
      <alignment horizontal="center"/>
    </xf>
    <xf numFmtId="0" fontId="1" fillId="70" borderId="35" xfId="0" applyFont="1" applyFill="1" applyBorder="1"/>
    <xf numFmtId="0" fontId="1" fillId="70" borderId="42" xfId="0" applyFont="1" applyFill="1" applyBorder="1"/>
    <xf numFmtId="0" fontId="1" fillId="73" borderId="0" xfId="0" applyFont="1" applyFill="1" applyBorder="1"/>
    <xf numFmtId="0" fontId="1" fillId="73" borderId="40" xfId="0" applyFont="1" applyFill="1" applyBorder="1"/>
    <xf numFmtId="0" fontId="113" fillId="73" borderId="32" xfId="1562" applyFont="1" applyFill="1" applyBorder="1"/>
    <xf numFmtId="0" fontId="109" fillId="73" borderId="0" xfId="0" applyFont="1" applyFill="1" applyBorder="1"/>
    <xf numFmtId="0" fontId="1" fillId="73" borderId="32" xfId="0" applyFont="1" applyFill="1" applyBorder="1"/>
    <xf numFmtId="0" fontId="113" fillId="73" borderId="0" xfId="1574" applyFont="1" applyFill="1" applyBorder="1"/>
    <xf numFmtId="179" fontId="1" fillId="71" borderId="0" xfId="1560" applyNumberFormat="1" applyFont="1" applyFill="1" applyBorder="1"/>
    <xf numFmtId="179" fontId="1" fillId="68" borderId="0" xfId="1560" applyNumberFormat="1" applyFont="1" applyFill="1" applyBorder="1"/>
    <xf numFmtId="179" fontId="1" fillId="68" borderId="40" xfId="1560" applyNumberFormat="1" applyFont="1" applyFill="1" applyBorder="1"/>
    <xf numFmtId="0" fontId="113" fillId="73" borderId="32" xfId="1575" applyFont="1" applyFill="1" applyBorder="1"/>
    <xf numFmtId="179" fontId="1" fillId="73" borderId="0" xfId="1560" applyNumberFormat="1" applyFont="1" applyFill="1" applyBorder="1"/>
    <xf numFmtId="179" fontId="1" fillId="73" borderId="40" xfId="1560" applyNumberFormat="1" applyFont="1" applyFill="1" applyBorder="1"/>
    <xf numFmtId="0" fontId="113" fillId="73" borderId="32" xfId="1576" applyFont="1" applyFill="1" applyBorder="1"/>
    <xf numFmtId="0" fontId="113" fillId="73" borderId="0" xfId="1577" applyFont="1" applyFill="1" applyBorder="1"/>
    <xf numFmtId="0" fontId="116" fillId="73" borderId="0" xfId="1578" applyFont="1" applyFill="1" applyBorder="1" applyAlignment="1">
      <alignment horizontal="left"/>
    </xf>
    <xf numFmtId="0" fontId="113" fillId="73" borderId="0" xfId="1578" applyFont="1" applyFill="1" applyBorder="1" applyAlignment="1">
      <alignment horizontal="left" indent="3"/>
    </xf>
    <xf numFmtId="180" fontId="113" fillId="73" borderId="0" xfId="1560" applyNumberFormat="1" applyFont="1" applyFill="1" applyBorder="1" applyAlignment="1">
      <alignment horizontal="left" indent="2"/>
    </xf>
    <xf numFmtId="180" fontId="116" fillId="73" borderId="0" xfId="1560" applyNumberFormat="1" applyFont="1" applyFill="1" applyBorder="1" applyAlignment="1">
      <alignment horizontal="left"/>
    </xf>
    <xf numFmtId="0" fontId="113" fillId="73" borderId="0" xfId="1563" applyFont="1" applyFill="1" applyBorder="1" applyAlignment="1">
      <alignment horizontal="left" indent="3"/>
    </xf>
    <xf numFmtId="0" fontId="113" fillId="73" borderId="0" xfId="1563" applyFont="1" applyFill="1" applyBorder="1"/>
    <xf numFmtId="0" fontId="113" fillId="73" borderId="32" xfId="1579" applyFont="1" applyFill="1" applyBorder="1"/>
    <xf numFmtId="179" fontId="1" fillId="73" borderId="0" xfId="0" applyNumberFormat="1" applyFont="1" applyFill="1" applyBorder="1"/>
    <xf numFmtId="179" fontId="1" fillId="73" borderId="40" xfId="0" applyNumberFormat="1" applyFont="1" applyFill="1" applyBorder="1"/>
    <xf numFmtId="0" fontId="113" fillId="73" borderId="32" xfId="1580" applyFont="1" applyFill="1" applyBorder="1"/>
    <xf numFmtId="0" fontId="113" fillId="73" borderId="32" xfId="1581" applyFont="1" applyFill="1" applyBorder="1"/>
    <xf numFmtId="0" fontId="116" fillId="73" borderId="32" xfId="1581" applyFont="1" applyFill="1" applyBorder="1"/>
    <xf numFmtId="0" fontId="117" fillId="73" borderId="32" xfId="1583" applyFont="1" applyFill="1" applyBorder="1"/>
    <xf numFmtId="0" fontId="113" fillId="73" borderId="0" xfId="1600" applyFont="1" applyFill="1" applyBorder="1"/>
    <xf numFmtId="0" fontId="113" fillId="73" borderId="0" xfId="1603" applyFont="1" applyFill="1" applyBorder="1" applyAlignment="1">
      <alignment horizontal="left" indent="2"/>
    </xf>
    <xf numFmtId="0" fontId="113" fillId="73" borderId="0" xfId="1599" applyFont="1" applyFill="1" applyBorder="1" applyAlignment="1">
      <alignment horizontal="left" indent="2"/>
    </xf>
    <xf numFmtId="0" fontId="113" fillId="73" borderId="0" xfId="1599" applyFont="1" applyFill="1" applyBorder="1"/>
    <xf numFmtId="0" fontId="113" fillId="73" borderId="0" xfId="1599" applyFont="1" applyFill="1" applyBorder="1" applyAlignment="1">
      <alignment horizontal="left" indent="4"/>
    </xf>
    <xf numFmtId="0" fontId="113" fillId="73" borderId="0" xfId="611" applyFont="1" applyFill="1" applyBorder="1" applyAlignment="1">
      <alignment horizontal="left" indent="4"/>
    </xf>
    <xf numFmtId="6" fontId="1" fillId="0" borderId="0" xfId="0" applyNumberFormat="1" applyFont="1"/>
    <xf numFmtId="0" fontId="116" fillId="73" borderId="0" xfId="1604" applyFont="1" applyFill="1" applyBorder="1"/>
    <xf numFmtId="0" fontId="117" fillId="73" borderId="32" xfId="1601" applyFont="1" applyFill="1" applyBorder="1"/>
    <xf numFmtId="0" fontId="113" fillId="73" borderId="0" xfId="1605" applyFont="1" applyFill="1" applyBorder="1"/>
    <xf numFmtId="0" fontId="113" fillId="73" borderId="0" xfId="1605" applyFont="1" applyFill="1" applyBorder="1" applyAlignment="1">
      <alignment horizontal="left"/>
    </xf>
    <xf numFmtId="0" fontId="116" fillId="73" borderId="0" xfId="1606" applyFont="1" applyFill="1" applyBorder="1" applyAlignment="1">
      <alignment horizontal="left" indent="2"/>
    </xf>
    <xf numFmtId="0" fontId="117" fillId="73" borderId="32" xfId="1607" applyFont="1" applyFill="1" applyBorder="1"/>
    <xf numFmtId="0" fontId="113" fillId="73" borderId="0" xfId="1608" applyFont="1" applyFill="1" applyBorder="1"/>
    <xf numFmtId="181" fontId="1" fillId="71" borderId="0" xfId="1560" applyNumberFormat="1" applyFont="1" applyFill="1" applyBorder="1"/>
    <xf numFmtId="0" fontId="116" fillId="73" borderId="0" xfId="1609" applyFont="1" applyFill="1" applyBorder="1" applyAlignment="1">
      <alignment horizontal="left" indent="2"/>
    </xf>
    <xf numFmtId="0" fontId="113" fillId="73" borderId="32" xfId="1610" applyFont="1" applyFill="1" applyBorder="1"/>
    <xf numFmtId="0" fontId="113" fillId="73" borderId="32" xfId="1611" applyFont="1" applyFill="1" applyBorder="1"/>
    <xf numFmtId="0" fontId="113" fillId="73" borderId="32" xfId="1612" applyFont="1" applyFill="1" applyBorder="1"/>
    <xf numFmtId="0" fontId="1" fillId="73" borderId="41" xfId="0" applyFont="1" applyFill="1" applyBorder="1"/>
    <xf numFmtId="0" fontId="1" fillId="73" borderId="35" xfId="0" applyFont="1" applyFill="1" applyBorder="1"/>
    <xf numFmtId="0" fontId="1" fillId="73" borderId="42" xfId="0" applyFont="1" applyFill="1" applyBorder="1"/>
    <xf numFmtId="0" fontId="1" fillId="73" borderId="0" xfId="0" applyFont="1" applyFill="1"/>
    <xf numFmtId="1" fontId="1" fillId="73" borderId="0" xfId="0" applyNumberFormat="1" applyFont="1" applyFill="1" applyBorder="1"/>
    <xf numFmtId="1" fontId="1" fillId="73" borderId="40" xfId="0" applyNumberFormat="1" applyFont="1" applyFill="1" applyBorder="1"/>
    <xf numFmtId="179" fontId="110" fillId="73" borderId="0" xfId="1560" applyNumberFormat="1" applyFont="1" applyFill="1" applyBorder="1"/>
    <xf numFmtId="179" fontId="110" fillId="73" borderId="40" xfId="1560" applyNumberFormat="1" applyFont="1" applyFill="1" applyBorder="1"/>
    <xf numFmtId="179" fontId="16" fillId="73" borderId="0" xfId="0" applyNumberFormat="1" applyFont="1" applyFill="1" applyBorder="1"/>
    <xf numFmtId="179" fontId="16" fillId="73" borderId="40" xfId="0" applyNumberFormat="1" applyFont="1" applyFill="1" applyBorder="1"/>
    <xf numFmtId="181" fontId="1" fillId="73" borderId="0" xfId="1560" applyNumberFormat="1" applyFont="1" applyFill="1" applyBorder="1"/>
    <xf numFmtId="181" fontId="1" fillId="73" borderId="40" xfId="1560" applyNumberFormat="1" applyFont="1" applyFill="1" applyBorder="1"/>
    <xf numFmtId="0" fontId="0" fillId="73" borderId="0" xfId="0" applyFont="1" applyFill="1" applyBorder="1"/>
    <xf numFmtId="0" fontId="0" fillId="73" borderId="0" xfId="0" applyFont="1" applyFill="1" applyBorder="1" applyAlignment="1">
      <alignment horizontal="left" indent="2"/>
    </xf>
    <xf numFmtId="0" fontId="116" fillId="73" borderId="32" xfId="1576" applyFont="1" applyFill="1" applyBorder="1"/>
    <xf numFmtId="0" fontId="0" fillId="0" borderId="0" xfId="0" applyFill="1"/>
    <xf numFmtId="179" fontId="0" fillId="0" borderId="0" xfId="0" applyNumberFormat="1"/>
    <xf numFmtId="0" fontId="18" fillId="73" borderId="0" xfId="1574" applyFont="1" applyFill="1" applyBorder="1"/>
    <xf numFmtId="0" fontId="0" fillId="0" borderId="46" xfId="0" applyBorder="1"/>
    <xf numFmtId="0" fontId="0" fillId="70" borderId="0" xfId="0" applyFont="1" applyFill="1"/>
    <xf numFmtId="0" fontId="110" fillId="70" borderId="0" xfId="0" applyFont="1" applyFill="1"/>
    <xf numFmtId="0" fontId="118" fillId="70" borderId="35" xfId="0" applyFont="1" applyFill="1" applyBorder="1" applyAlignment="1">
      <alignment horizontal="center"/>
    </xf>
    <xf numFmtId="0" fontId="118" fillId="70" borderId="0" xfId="0" applyFont="1" applyFill="1" applyAlignment="1">
      <alignment horizontal="center"/>
    </xf>
    <xf numFmtId="0" fontId="118" fillId="70" borderId="0" xfId="0" applyFont="1" applyFill="1" applyBorder="1" applyAlignment="1">
      <alignment horizontal="center"/>
    </xf>
    <xf numFmtId="0" fontId="118" fillId="70" borderId="0" xfId="0" applyFont="1" applyFill="1"/>
    <xf numFmtId="0" fontId="110" fillId="70" borderId="0" xfId="0" applyFont="1" applyFill="1" applyBorder="1" applyAlignment="1">
      <alignment horizontal="center" wrapText="1"/>
    </xf>
    <xf numFmtId="0" fontId="118" fillId="70" borderId="35" xfId="0" applyFont="1" applyFill="1" applyBorder="1" applyAlignment="1">
      <alignment horizontal="left"/>
    </xf>
    <xf numFmtId="0" fontId="110" fillId="70" borderId="0" xfId="0" applyFont="1" applyFill="1" applyBorder="1"/>
    <xf numFmtId="0" fontId="110" fillId="76" borderId="0" xfId="0" applyFont="1" applyFill="1"/>
    <xf numFmtId="182" fontId="110" fillId="76" borderId="0" xfId="1582" applyNumberFormat="1" applyFont="1" applyFill="1"/>
    <xf numFmtId="182" fontId="110" fillId="70" borderId="0" xfId="1582" applyNumberFormat="1" applyFont="1" applyFill="1"/>
    <xf numFmtId="1" fontId="110" fillId="70" borderId="0" xfId="0" applyNumberFormat="1" applyFont="1" applyFill="1"/>
    <xf numFmtId="0" fontId="110" fillId="70" borderId="35" xfId="0" applyFont="1" applyFill="1" applyBorder="1"/>
    <xf numFmtId="182" fontId="110" fillId="70" borderId="35" xfId="1582" applyNumberFormat="1" applyFont="1" applyFill="1" applyBorder="1"/>
    <xf numFmtId="0" fontId="16" fillId="76" borderId="0" xfId="0" applyFont="1" applyFill="1"/>
    <xf numFmtId="0" fontId="16" fillId="76" borderId="0" xfId="0" applyFont="1" applyFill="1" applyAlignment="1">
      <alignment horizontal="left" indent="2"/>
    </xf>
    <xf numFmtId="182" fontId="16" fillId="76" borderId="0" xfId="0" applyNumberFormat="1" applyFont="1" applyFill="1"/>
    <xf numFmtId="0" fontId="16" fillId="70" borderId="0" xfId="0" applyFont="1" applyFill="1"/>
    <xf numFmtId="0" fontId="110" fillId="76" borderId="0" xfId="0" applyFont="1" applyFill="1" applyBorder="1"/>
    <xf numFmtId="0" fontId="110" fillId="76" borderId="35" xfId="0" applyFont="1" applyFill="1" applyBorder="1"/>
    <xf numFmtId="182" fontId="110" fillId="76" borderId="35" xfId="1582" applyNumberFormat="1" applyFont="1" applyFill="1" applyBorder="1"/>
    <xf numFmtId="0" fontId="118" fillId="70" borderId="0" xfId="0" applyFont="1" applyFill="1" applyAlignment="1">
      <alignment horizontal="right"/>
    </xf>
    <xf numFmtId="0" fontId="118" fillId="70" borderId="0" xfId="0" applyFont="1" applyFill="1" applyAlignment="1">
      <alignment horizontal="left" indent="2"/>
    </xf>
    <xf numFmtId="182" fontId="118" fillId="70" borderId="0" xfId="1582" applyNumberFormat="1" applyFont="1" applyFill="1"/>
    <xf numFmtId="0" fontId="118" fillId="76" borderId="0" xfId="0" applyFont="1" applyFill="1"/>
    <xf numFmtId="0" fontId="118" fillId="76" borderId="0" xfId="0" applyFont="1" applyFill="1" applyBorder="1"/>
    <xf numFmtId="1" fontId="118" fillId="76" borderId="0" xfId="0" applyNumberFormat="1" applyFont="1" applyFill="1" applyBorder="1"/>
    <xf numFmtId="182" fontId="118" fillId="76" borderId="0" xfId="1582" applyNumberFormat="1" applyFont="1" applyFill="1" applyBorder="1"/>
    <xf numFmtId="182" fontId="110" fillId="70" borderId="0" xfId="0" applyNumberFormat="1" applyFont="1" applyFill="1"/>
    <xf numFmtId="0" fontId="118" fillId="76" borderId="0" xfId="0" applyFont="1" applyFill="1" applyAlignment="1">
      <alignment horizontal="right"/>
    </xf>
    <xf numFmtId="1" fontId="118" fillId="76" borderId="0" xfId="0" applyNumberFormat="1" applyFont="1" applyFill="1"/>
    <xf numFmtId="182" fontId="118" fillId="76" borderId="0" xfId="1582" applyNumberFormat="1" applyFont="1" applyFill="1"/>
    <xf numFmtId="182" fontId="118" fillId="70" borderId="0" xfId="0" applyNumberFormat="1" applyFont="1" applyFill="1"/>
    <xf numFmtId="0" fontId="18" fillId="73" borderId="32" xfId="1634" applyFill="1" applyBorder="1"/>
    <xf numFmtId="0" fontId="18" fillId="73" borderId="32" xfId="1639" applyFill="1" applyBorder="1"/>
    <xf numFmtId="0" fontId="18" fillId="73" borderId="32" xfId="1640" applyFill="1" applyBorder="1"/>
    <xf numFmtId="0" fontId="18" fillId="73" borderId="32" xfId="1641" applyFont="1" applyFill="1" applyBorder="1"/>
    <xf numFmtId="0" fontId="18" fillId="73" borderId="0" xfId="1641" applyFont="1" applyFill="1" applyBorder="1"/>
    <xf numFmtId="0" fontId="18" fillId="73" borderId="35" xfId="1641" applyFont="1" applyFill="1" applyBorder="1"/>
    <xf numFmtId="1" fontId="110" fillId="76" borderId="0" xfId="0" applyNumberFormat="1" applyFont="1" applyFill="1" applyAlignment="1">
      <alignment horizontal="center"/>
    </xf>
    <xf numFmtId="1" fontId="110" fillId="70" borderId="0" xfId="0" applyNumberFormat="1" applyFont="1" applyFill="1" applyAlignment="1">
      <alignment horizontal="center"/>
    </xf>
    <xf numFmtId="1" fontId="110" fillId="70" borderId="35" xfId="0" applyNumberFormat="1" applyFont="1" applyFill="1" applyBorder="1" applyAlignment="1">
      <alignment horizontal="center"/>
    </xf>
    <xf numFmtId="1" fontId="16" fillId="76" borderId="0" xfId="0" applyNumberFormat="1" applyFont="1" applyFill="1" applyAlignment="1">
      <alignment horizontal="center"/>
    </xf>
    <xf numFmtId="1" fontId="0" fillId="70" borderId="0" xfId="0" applyNumberFormat="1" applyFont="1" applyFill="1" applyAlignment="1"/>
    <xf numFmtId="1" fontId="110" fillId="76" borderId="35" xfId="0" applyNumberFormat="1" applyFont="1" applyFill="1" applyBorder="1" applyAlignment="1">
      <alignment horizontal="center"/>
    </xf>
    <xf numFmtId="1" fontId="118" fillId="70" borderId="0" xfId="0" applyNumberFormat="1" applyFont="1" applyFill="1" applyAlignment="1">
      <alignment horizontal="center"/>
    </xf>
    <xf numFmtId="1" fontId="118" fillId="76" borderId="0" xfId="0" applyNumberFormat="1" applyFont="1" applyFill="1" applyBorder="1" applyAlignment="1">
      <alignment horizontal="center"/>
    </xf>
    <xf numFmtId="1" fontId="118" fillId="76" borderId="0" xfId="0" applyNumberFormat="1" applyFont="1" applyFill="1" applyAlignment="1">
      <alignment horizontal="center"/>
    </xf>
    <xf numFmtId="179" fontId="109" fillId="0" borderId="0" xfId="0" applyNumberFormat="1" applyFont="1"/>
    <xf numFmtId="0" fontId="116" fillId="70" borderId="0" xfId="0" applyFont="1" applyFill="1"/>
    <xf numFmtId="0" fontId="109" fillId="70" borderId="0" xfId="0" applyFont="1" applyFill="1"/>
    <xf numFmtId="0" fontId="113" fillId="70" borderId="35" xfId="0" applyFont="1" applyFill="1" applyBorder="1" applyAlignment="1">
      <alignment horizontal="center" wrapText="1"/>
    </xf>
    <xf numFmtId="0" fontId="113" fillId="70" borderId="0" xfId="0" applyFont="1" applyFill="1"/>
    <xf numFmtId="0" fontId="123" fillId="73" borderId="0" xfId="0" applyFont="1" applyFill="1" applyBorder="1" applyAlignment="1">
      <alignment horizontal="center"/>
    </xf>
    <xf numFmtId="0" fontId="124" fillId="0" borderId="0" xfId="0" applyFont="1"/>
    <xf numFmtId="0" fontId="123" fillId="75" borderId="53" xfId="0" applyFont="1" applyFill="1" applyBorder="1" applyAlignment="1">
      <alignment horizontal="center"/>
    </xf>
    <xf numFmtId="0" fontId="123" fillId="75" borderId="54" xfId="0" applyFont="1" applyFill="1" applyBorder="1" applyAlignment="1">
      <alignment horizontal="center"/>
    </xf>
    <xf numFmtId="0" fontId="124" fillId="75" borderId="54" xfId="0" applyFont="1" applyFill="1" applyBorder="1"/>
    <xf numFmtId="179" fontId="124" fillId="73" borderId="0" xfId="1560" applyNumberFormat="1" applyFont="1" applyFill="1" applyBorder="1"/>
    <xf numFmtId="179" fontId="124" fillId="75" borderId="54" xfId="1560" applyNumberFormat="1" applyFont="1" applyFill="1" applyBorder="1"/>
    <xf numFmtId="0" fontId="124" fillId="73" borderId="0" xfId="0" applyFont="1" applyFill="1" applyBorder="1"/>
    <xf numFmtId="179" fontId="124" fillId="73" borderId="0" xfId="0" applyNumberFormat="1" applyFont="1" applyFill="1" applyBorder="1"/>
    <xf numFmtId="179" fontId="124" fillId="73" borderId="35" xfId="0" applyNumberFormat="1" applyFont="1" applyFill="1" applyBorder="1"/>
    <xf numFmtId="179" fontId="124" fillId="73" borderId="51" xfId="0" applyNumberFormat="1" applyFont="1" applyFill="1" applyBorder="1"/>
    <xf numFmtId="179" fontId="124" fillId="75" borderId="55" xfId="0" applyNumberFormat="1" applyFont="1" applyFill="1" applyBorder="1"/>
    <xf numFmtId="179" fontId="124" fillId="0" borderId="0" xfId="0" applyNumberFormat="1" applyFont="1"/>
    <xf numFmtId="0" fontId="18" fillId="70" borderId="35" xfId="1641" applyFont="1" applyFill="1" applyBorder="1"/>
    <xf numFmtId="0" fontId="18" fillId="70" borderId="0" xfId="1574" applyFont="1" applyFill="1" applyBorder="1"/>
    <xf numFmtId="179" fontId="124" fillId="70" borderId="0" xfId="0" applyNumberFormat="1" applyFont="1" applyFill="1" applyBorder="1"/>
    <xf numFmtId="0" fontId="123" fillId="70" borderId="0" xfId="0" applyFont="1" applyFill="1" applyBorder="1" applyAlignment="1">
      <alignment horizontal="center"/>
    </xf>
    <xf numFmtId="0" fontId="18" fillId="70" borderId="0" xfId="1641" applyFont="1" applyFill="1" applyBorder="1"/>
    <xf numFmtId="0" fontId="18" fillId="70" borderId="0" xfId="1639" applyFill="1" applyBorder="1"/>
    <xf numFmtId="0" fontId="124" fillId="0" borderId="0" xfId="0" applyFont="1" applyFill="1" applyBorder="1"/>
    <xf numFmtId="0" fontId="123" fillId="70" borderId="35" xfId="0" applyFont="1" applyFill="1" applyBorder="1" applyAlignment="1">
      <alignment horizontal="center"/>
    </xf>
    <xf numFmtId="179" fontId="124" fillId="70" borderId="35" xfId="0" applyNumberFormat="1" applyFont="1" applyFill="1" applyBorder="1"/>
    <xf numFmtId="0" fontId="124" fillId="0" borderId="0" xfId="0" applyFont="1" applyAlignment="1">
      <alignment horizontal="center"/>
    </xf>
    <xf numFmtId="9" fontId="0" fillId="0" borderId="0" xfId="1582" applyFont="1"/>
    <xf numFmtId="0" fontId="0" fillId="0" borderId="0" xfId="0" applyFill="1" applyBorder="1"/>
    <xf numFmtId="0" fontId="16" fillId="70" borderId="0" xfId="0" applyFont="1" applyFill="1" applyBorder="1" applyAlignment="1"/>
    <xf numFmtId="0" fontId="0" fillId="70" borderId="0" xfId="0" applyFill="1" applyBorder="1" applyAlignment="1">
      <alignment horizontal="right"/>
    </xf>
    <xf numFmtId="0" fontId="0" fillId="70" borderId="0" xfId="0" applyFill="1" applyBorder="1" applyAlignment="1">
      <alignment horizontal="left"/>
    </xf>
    <xf numFmtId="0" fontId="0" fillId="70" borderId="0" xfId="0" applyFont="1" applyFill="1" applyBorder="1" applyAlignment="1">
      <alignment horizontal="left"/>
    </xf>
    <xf numFmtId="0" fontId="0" fillId="0" borderId="0" xfId="0"/>
    <xf numFmtId="0" fontId="0" fillId="0" borderId="0" xfId="0" applyFill="1"/>
    <xf numFmtId="179" fontId="0" fillId="0" borderId="0" xfId="0" applyNumberFormat="1"/>
    <xf numFmtId="183" fontId="0" fillId="0" borderId="0" xfId="0" applyNumberFormat="1"/>
    <xf numFmtId="179" fontId="0" fillId="0" borderId="0" xfId="0" applyNumberFormat="1"/>
    <xf numFmtId="179" fontId="0" fillId="0" borderId="0" xfId="1560" applyNumberFormat="1" applyFont="1"/>
    <xf numFmtId="179" fontId="0" fillId="0" borderId="0" xfId="0" applyNumberFormat="1" applyFill="1" applyBorder="1"/>
    <xf numFmtId="0" fontId="16" fillId="0" borderId="0" xfId="0" applyFont="1"/>
    <xf numFmtId="0" fontId="0" fillId="0" borderId="0" xfId="0" applyFont="1"/>
    <xf numFmtId="179" fontId="0" fillId="70" borderId="0" xfId="0" applyNumberFormat="1" applyFill="1" applyBorder="1"/>
    <xf numFmtId="179" fontId="0" fillId="70" borderId="0" xfId="1560" applyNumberFormat="1" applyFont="1" applyFill="1" applyBorder="1"/>
    <xf numFmtId="0" fontId="0" fillId="0" borderId="46" xfId="0" applyFill="1" applyBorder="1"/>
    <xf numFmtId="0" fontId="16" fillId="82" borderId="44" xfId="0" applyFont="1" applyFill="1" applyBorder="1" applyAlignment="1"/>
    <xf numFmtId="0" fontId="16" fillId="82" borderId="52" xfId="0" applyFont="1" applyFill="1" applyBorder="1" applyAlignment="1"/>
    <xf numFmtId="0" fontId="110" fillId="0" borderId="0" xfId="0" applyFont="1"/>
    <xf numFmtId="0" fontId="118" fillId="82" borderId="44" xfId="0" applyFont="1" applyFill="1" applyBorder="1" applyAlignment="1"/>
    <xf numFmtId="0" fontId="118" fillId="82" borderId="52" xfId="0" applyFont="1" applyFill="1" applyBorder="1" applyAlignment="1"/>
    <xf numFmtId="0" fontId="118" fillId="82" borderId="31" xfId="0" applyFont="1" applyFill="1" applyBorder="1" applyAlignment="1">
      <alignment horizontal="center"/>
    </xf>
    <xf numFmtId="0" fontId="118" fillId="82" borderId="48" xfId="0" applyFont="1" applyFill="1" applyBorder="1" applyAlignment="1">
      <alignment horizontal="center"/>
    </xf>
    <xf numFmtId="0" fontId="118" fillId="82" borderId="49" xfId="0" applyFont="1" applyFill="1" applyBorder="1" applyAlignment="1">
      <alignment horizontal="center"/>
    </xf>
    <xf numFmtId="179" fontId="110" fillId="0" borderId="0" xfId="0" applyNumberFormat="1" applyFont="1"/>
    <xf numFmtId="0" fontId="110" fillId="70" borderId="46" xfId="0" applyFont="1" applyFill="1" applyBorder="1"/>
    <xf numFmtId="0" fontId="110" fillId="70" borderId="47" xfId="0" applyFont="1" applyFill="1" applyBorder="1"/>
    <xf numFmtId="0" fontId="18" fillId="70" borderId="46" xfId="1562" applyFont="1" applyFill="1" applyBorder="1"/>
    <xf numFmtId="179" fontId="110" fillId="70" borderId="46" xfId="1560" applyNumberFormat="1" applyFont="1" applyFill="1" applyBorder="1"/>
    <xf numFmtId="179" fontId="110" fillId="70" borderId="47" xfId="1560" applyNumberFormat="1" applyFont="1" applyFill="1" applyBorder="1"/>
    <xf numFmtId="179" fontId="110" fillId="70" borderId="0" xfId="1560" applyNumberFormat="1" applyFont="1" applyFill="1" applyBorder="1"/>
    <xf numFmtId="0" fontId="18" fillId="70" borderId="46" xfId="1575" applyFont="1" applyFill="1" applyBorder="1"/>
    <xf numFmtId="0" fontId="18" fillId="70" borderId="46" xfId="1576" applyFont="1" applyFill="1" applyBorder="1"/>
    <xf numFmtId="0" fontId="18" fillId="70" borderId="0" xfId="1577" applyFont="1" applyFill="1" applyBorder="1"/>
    <xf numFmtId="0" fontId="18" fillId="70" borderId="0" xfId="1578" applyFont="1" applyFill="1" applyBorder="1" applyAlignment="1">
      <alignment horizontal="left" indent="3"/>
    </xf>
    <xf numFmtId="180" fontId="18" fillId="70" borderId="0" xfId="1560" applyNumberFormat="1" applyFont="1" applyFill="1" applyBorder="1" applyAlignment="1">
      <alignment horizontal="left" indent="2"/>
    </xf>
    <xf numFmtId="43" fontId="110" fillId="70" borderId="0" xfId="1560" applyNumberFormat="1" applyFont="1" applyFill="1" applyBorder="1"/>
    <xf numFmtId="0" fontId="18" fillId="70" borderId="0" xfId="1563" applyFont="1" applyFill="1" applyBorder="1"/>
    <xf numFmtId="0" fontId="18" fillId="70" borderId="46" xfId="1579" applyFont="1" applyFill="1" applyBorder="1"/>
    <xf numFmtId="179" fontId="110" fillId="70" borderId="0" xfId="0" applyNumberFormat="1" applyFont="1" applyFill="1" applyBorder="1"/>
    <xf numFmtId="179" fontId="110" fillId="70" borderId="46" xfId="0" applyNumberFormat="1" applyFont="1" applyFill="1" applyBorder="1"/>
    <xf numFmtId="179" fontId="110" fillId="70" borderId="47" xfId="0" applyNumberFormat="1" applyFont="1" applyFill="1" applyBorder="1"/>
    <xf numFmtId="0" fontId="18" fillId="70" borderId="46" xfId="1580" applyFont="1" applyFill="1" applyBorder="1"/>
    <xf numFmtId="0" fontId="18" fillId="70" borderId="46" xfId="1581" applyFont="1" applyFill="1" applyBorder="1"/>
    <xf numFmtId="0" fontId="19" fillId="70" borderId="46" xfId="1581" applyFont="1" applyFill="1" applyBorder="1"/>
    <xf numFmtId="179" fontId="132" fillId="70" borderId="46" xfId="0" applyNumberFormat="1" applyFont="1" applyFill="1" applyBorder="1"/>
    <xf numFmtId="179" fontId="132" fillId="70" borderId="47" xfId="0" applyNumberFormat="1" applyFont="1" applyFill="1" applyBorder="1"/>
    <xf numFmtId="0" fontId="118" fillId="70" borderId="46" xfId="0" applyFont="1" applyFill="1" applyBorder="1" applyAlignment="1"/>
    <xf numFmtId="0" fontId="118" fillId="70" borderId="0" xfId="0" applyFont="1" applyFill="1" applyBorder="1" applyAlignment="1"/>
    <xf numFmtId="0" fontId="108" fillId="70" borderId="46" xfId="1583" applyFont="1" applyFill="1" applyBorder="1"/>
    <xf numFmtId="0" fontId="126" fillId="70" borderId="0" xfId="0" applyFont="1" applyFill="1" applyBorder="1"/>
    <xf numFmtId="0" fontId="18" fillId="70" borderId="0" xfId="1600" applyFont="1" applyFill="1" applyBorder="1"/>
    <xf numFmtId="0" fontId="18" fillId="70" borderId="0" xfId="1603" applyFont="1" applyFill="1" applyBorder="1" applyAlignment="1">
      <alignment horizontal="left" indent="2"/>
    </xf>
    <xf numFmtId="1" fontId="110" fillId="70" borderId="0" xfId="0" applyNumberFormat="1" applyFont="1" applyFill="1" applyBorder="1"/>
    <xf numFmtId="0" fontId="18" fillId="70" borderId="0" xfId="1599" applyFont="1" applyFill="1" applyBorder="1" applyAlignment="1">
      <alignment horizontal="left" indent="2"/>
    </xf>
    <xf numFmtId="0" fontId="18" fillId="70" borderId="0" xfId="1599" applyFont="1" applyFill="1" applyBorder="1"/>
    <xf numFmtId="0" fontId="18" fillId="70" borderId="0" xfId="1599" applyFont="1" applyFill="1" applyBorder="1" applyAlignment="1">
      <alignment horizontal="left" indent="4"/>
    </xf>
    <xf numFmtId="0" fontId="18" fillId="70" borderId="0" xfId="611" applyFont="1" applyFill="1" applyBorder="1" applyAlignment="1">
      <alignment horizontal="left" indent="4"/>
    </xf>
    <xf numFmtId="0" fontId="18" fillId="70" borderId="0" xfId="1604" applyFont="1" applyFill="1" applyBorder="1"/>
    <xf numFmtId="0" fontId="108" fillId="70" borderId="46" xfId="1601" applyFont="1" applyFill="1" applyBorder="1"/>
    <xf numFmtId="0" fontId="118" fillId="70" borderId="0" xfId="0" applyFont="1" applyFill="1" applyBorder="1"/>
    <xf numFmtId="0" fontId="18" fillId="70" borderId="0" xfId="1605" applyFont="1" applyFill="1" applyBorder="1"/>
    <xf numFmtId="0" fontId="18" fillId="70" borderId="0" xfId="1605" applyFont="1" applyFill="1" applyBorder="1" applyAlignment="1">
      <alignment horizontal="left"/>
    </xf>
    <xf numFmtId="0" fontId="18" fillId="70" borderId="0" xfId="1606" applyFont="1" applyFill="1" applyBorder="1" applyAlignment="1">
      <alignment horizontal="left" indent="2"/>
    </xf>
    <xf numFmtId="179" fontId="118" fillId="70" borderId="0" xfId="0" applyNumberFormat="1" applyFont="1" applyFill="1" applyBorder="1"/>
    <xf numFmtId="0" fontId="108" fillId="70" borderId="46" xfId="1607" applyFont="1" applyFill="1" applyBorder="1"/>
    <xf numFmtId="0" fontId="18" fillId="70" borderId="0" xfId="1608" applyFont="1" applyFill="1" applyBorder="1"/>
    <xf numFmtId="181" fontId="110" fillId="70" borderId="0" xfId="1560" applyNumberFormat="1" applyFont="1" applyFill="1" applyBorder="1"/>
    <xf numFmtId="0" fontId="18" fillId="70" borderId="0" xfId="1609" applyFont="1" applyFill="1" applyBorder="1" applyAlignment="1">
      <alignment horizontal="left" indent="2"/>
    </xf>
    <xf numFmtId="0" fontId="18" fillId="70" borderId="46" xfId="1610" applyFont="1" applyFill="1" applyBorder="1"/>
    <xf numFmtId="0" fontId="18" fillId="70" borderId="46" xfId="1611" applyFont="1" applyFill="1" applyBorder="1"/>
    <xf numFmtId="0" fontId="18" fillId="70" borderId="46" xfId="1612" applyFont="1" applyFill="1" applyBorder="1"/>
    <xf numFmtId="0" fontId="18" fillId="70" borderId="48" xfId="1612" applyFont="1" applyFill="1" applyBorder="1"/>
    <xf numFmtId="0" fontId="110" fillId="70" borderId="31" xfId="0" applyFont="1" applyFill="1" applyBorder="1"/>
    <xf numFmtId="179" fontId="110" fillId="70" borderId="31" xfId="0" applyNumberFormat="1" applyFont="1" applyFill="1" applyBorder="1"/>
    <xf numFmtId="179" fontId="110" fillId="70" borderId="48" xfId="0" applyNumberFormat="1" applyFont="1" applyFill="1" applyBorder="1"/>
    <xf numFmtId="179" fontId="110" fillId="70" borderId="49" xfId="0" applyNumberFormat="1" applyFont="1" applyFill="1" applyBorder="1"/>
    <xf numFmtId="0" fontId="118" fillId="82" borderId="16" xfId="0" applyFont="1" applyFill="1" applyBorder="1" applyAlignment="1">
      <alignment horizontal="center"/>
    </xf>
    <xf numFmtId="0" fontId="118" fillId="82" borderId="57" xfId="1560" applyNumberFormat="1" applyFont="1" applyFill="1" applyBorder="1" applyAlignment="1">
      <alignment horizontal="center"/>
    </xf>
    <xf numFmtId="0" fontId="118" fillId="82" borderId="58" xfId="1560" applyNumberFormat="1" applyFont="1" applyFill="1" applyBorder="1" applyAlignment="1">
      <alignment horizontal="center"/>
    </xf>
    <xf numFmtId="0" fontId="0" fillId="82" borderId="0" xfId="0" applyFill="1" applyBorder="1"/>
    <xf numFmtId="179" fontId="0" fillId="82" borderId="0" xfId="0" applyNumberFormat="1" applyFill="1" applyBorder="1"/>
    <xf numFmtId="0" fontId="0" fillId="70" borderId="46" xfId="0" applyFill="1" applyBorder="1" applyAlignment="1">
      <alignment horizontal="left" indent="2"/>
    </xf>
    <xf numFmtId="179" fontId="0" fillId="70" borderId="0" xfId="1560" applyNumberFormat="1" applyFont="1" applyFill="1" applyBorder="1" applyAlignment="1">
      <alignment horizontal="left"/>
    </xf>
    <xf numFmtId="179" fontId="0" fillId="70" borderId="32" xfId="1560" applyNumberFormat="1" applyFont="1" applyFill="1" applyBorder="1"/>
    <xf numFmtId="179" fontId="0" fillId="70" borderId="47" xfId="1560" applyNumberFormat="1" applyFont="1" applyFill="1" applyBorder="1"/>
    <xf numFmtId="179" fontId="110" fillId="70" borderId="0" xfId="1560" applyNumberFormat="1" applyFont="1" applyFill="1" applyBorder="1" applyAlignment="1">
      <alignment horizontal="left"/>
    </xf>
    <xf numFmtId="179" fontId="0" fillId="70" borderId="32" xfId="0" applyNumberFormat="1" applyFill="1" applyBorder="1"/>
    <xf numFmtId="179" fontId="0" fillId="70" borderId="47" xfId="0" applyNumberFormat="1" applyFill="1" applyBorder="1"/>
    <xf numFmtId="0" fontId="16" fillId="70" borderId="46" xfId="0" applyFont="1" applyFill="1" applyBorder="1" applyAlignment="1">
      <alignment horizontal="left" indent="6"/>
    </xf>
    <xf numFmtId="0" fontId="16" fillId="70" borderId="48" xfId="0" applyFont="1" applyFill="1" applyBorder="1" applyAlignment="1">
      <alignment horizontal="left" indent="6"/>
    </xf>
    <xf numFmtId="0" fontId="0" fillId="70" borderId="31" xfId="0" applyFill="1" applyBorder="1"/>
    <xf numFmtId="179" fontId="0" fillId="70" borderId="31" xfId="1560" applyNumberFormat="1" applyFont="1" applyFill="1" applyBorder="1" applyAlignment="1">
      <alignment horizontal="left"/>
    </xf>
    <xf numFmtId="179" fontId="0" fillId="70" borderId="31" xfId="1560" applyNumberFormat="1" applyFont="1" applyFill="1" applyBorder="1"/>
    <xf numFmtId="179" fontId="0" fillId="70" borderId="59" xfId="1560" applyNumberFormat="1" applyFont="1" applyFill="1" applyBorder="1"/>
    <xf numFmtId="179" fontId="0" fillId="70" borderId="49" xfId="1560" applyNumberFormat="1" applyFont="1" applyFill="1" applyBorder="1"/>
    <xf numFmtId="0" fontId="0" fillId="76" borderId="46" xfId="0" applyFill="1" applyBorder="1"/>
    <xf numFmtId="0" fontId="0" fillId="76" borderId="0" xfId="0" applyFill="1" applyBorder="1"/>
    <xf numFmtId="0" fontId="119" fillId="76" borderId="46" xfId="0" applyFont="1" applyFill="1" applyBorder="1" applyAlignment="1">
      <alignment horizontal="right"/>
    </xf>
    <xf numFmtId="0" fontId="0" fillId="76" borderId="46" xfId="0" applyFill="1" applyBorder="1" applyAlignment="1">
      <alignment horizontal="left" indent="3"/>
    </xf>
    <xf numFmtId="0" fontId="0" fillId="76" borderId="0" xfId="0" applyFill="1" applyBorder="1" applyAlignment="1">
      <alignment horizontal="left"/>
    </xf>
    <xf numFmtId="10" fontId="0" fillId="76" borderId="0" xfId="1582" applyNumberFormat="1" applyFont="1" applyFill="1" applyBorder="1" applyAlignment="1">
      <alignment horizontal="left"/>
    </xf>
    <xf numFmtId="10" fontId="0" fillId="76" borderId="0" xfId="1582" applyNumberFormat="1" applyFont="1" applyFill="1" applyBorder="1"/>
    <xf numFmtId="10" fontId="0" fillId="76" borderId="47" xfId="1582" applyNumberFormat="1" applyFont="1" applyFill="1" applyBorder="1"/>
    <xf numFmtId="179" fontId="0" fillId="76" borderId="0" xfId="0" applyNumberFormat="1" applyFill="1" applyBorder="1"/>
    <xf numFmtId="179" fontId="0" fillId="76" borderId="47" xfId="0" applyNumberFormat="1" applyFill="1" applyBorder="1"/>
    <xf numFmtId="0" fontId="102" fillId="0" borderId="52" xfId="1279" applyFont="1" applyFill="1" applyBorder="1" applyAlignment="1"/>
    <xf numFmtId="179" fontId="0" fillId="0" borderId="0" xfId="0" applyNumberFormat="1" applyFont="1"/>
    <xf numFmtId="0" fontId="118" fillId="82" borderId="16" xfId="0" applyFont="1" applyFill="1" applyBorder="1" applyAlignment="1" applyProtection="1">
      <alignment horizontal="center"/>
      <protection locked="0"/>
    </xf>
    <xf numFmtId="0" fontId="118" fillId="82" borderId="58" xfId="0" applyFont="1" applyFill="1" applyBorder="1" applyAlignment="1" applyProtection="1">
      <alignment horizontal="center"/>
      <protection locked="0"/>
    </xf>
    <xf numFmtId="179" fontId="132" fillId="70" borderId="0" xfId="1560" applyNumberFormat="1" applyFont="1" applyFill="1" applyBorder="1" applyProtection="1">
      <protection locked="0"/>
    </xf>
    <xf numFmtId="179" fontId="110" fillId="70" borderId="0" xfId="1560" applyNumberFormat="1" applyFont="1" applyFill="1" applyBorder="1" applyProtection="1">
      <protection locked="0"/>
    </xf>
    <xf numFmtId="0" fontId="0" fillId="70" borderId="44" xfId="0" applyFont="1" applyFill="1" applyBorder="1"/>
    <xf numFmtId="179" fontId="110" fillId="70" borderId="52" xfId="1560" applyNumberFormat="1" applyFont="1" applyFill="1" applyBorder="1"/>
    <xf numFmtId="179" fontId="132" fillId="70" borderId="52" xfId="1560" applyNumberFormat="1" applyFont="1" applyFill="1" applyBorder="1" applyProtection="1">
      <protection locked="0"/>
    </xf>
    <xf numFmtId="179" fontId="110" fillId="70" borderId="52" xfId="1560" applyNumberFormat="1" applyFont="1" applyFill="1" applyBorder="1" applyProtection="1">
      <protection locked="0"/>
    </xf>
    <xf numFmtId="179" fontId="110" fillId="70" borderId="45" xfId="1560" applyNumberFormat="1" applyFont="1" applyFill="1" applyBorder="1" applyProtection="1">
      <protection locked="0"/>
    </xf>
    <xf numFmtId="0" fontId="0" fillId="70" borderId="46" xfId="0" applyFont="1" applyFill="1" applyBorder="1"/>
    <xf numFmtId="179" fontId="110" fillId="70" borderId="47" xfId="1560" applyNumberFormat="1" applyFont="1" applyFill="1" applyBorder="1" applyProtection="1">
      <protection locked="0"/>
    </xf>
    <xf numFmtId="0" fontId="0" fillId="70" borderId="48" xfId="0" applyFont="1" applyFill="1" applyBorder="1"/>
    <xf numFmtId="179" fontId="110" fillId="70" borderId="31" xfId="1560" applyNumberFormat="1" applyFont="1" applyFill="1" applyBorder="1"/>
    <xf numFmtId="179" fontId="132" fillId="70" borderId="31" xfId="1560" applyNumberFormat="1" applyFont="1" applyFill="1" applyBorder="1" applyProtection="1">
      <protection locked="0"/>
    </xf>
    <xf numFmtId="179" fontId="110" fillId="70" borderId="31" xfId="1560" applyNumberFormat="1" applyFont="1" applyFill="1" applyBorder="1" applyProtection="1">
      <protection locked="0"/>
    </xf>
    <xf numFmtId="179" fontId="110" fillId="70" borderId="49" xfId="1560" applyNumberFormat="1" applyFont="1" applyFill="1" applyBorder="1" applyProtection="1">
      <protection locked="0"/>
    </xf>
    <xf numFmtId="0" fontId="118" fillId="82" borderId="58" xfId="0" applyFont="1" applyFill="1" applyBorder="1" applyAlignment="1">
      <alignment horizontal="center"/>
    </xf>
    <xf numFmtId="179" fontId="118" fillId="70" borderId="52" xfId="1560" applyNumberFormat="1" applyFont="1" applyFill="1" applyBorder="1" applyAlignment="1">
      <alignment horizontal="center"/>
    </xf>
    <xf numFmtId="179" fontId="118" fillId="70" borderId="45" xfId="1560" applyNumberFormat="1" applyFont="1" applyFill="1" applyBorder="1" applyAlignment="1">
      <alignment horizontal="center"/>
    </xf>
    <xf numFmtId="179" fontId="132" fillId="70" borderId="0" xfId="1560" applyNumberFormat="1" applyFont="1" applyFill="1" applyBorder="1"/>
    <xf numFmtId="179" fontId="132" fillId="70" borderId="0" xfId="0" applyNumberFormat="1" applyFont="1" applyFill="1" applyBorder="1"/>
    <xf numFmtId="0" fontId="104" fillId="70" borderId="46" xfId="0" applyFont="1" applyFill="1" applyBorder="1" applyAlignment="1">
      <alignment horizontal="center"/>
    </xf>
    <xf numFmtId="0" fontId="0" fillId="70" borderId="31" xfId="0" applyFont="1" applyFill="1" applyBorder="1"/>
    <xf numFmtId="179" fontId="0" fillId="70" borderId="31" xfId="0" applyNumberFormat="1" applyFont="1" applyFill="1" applyBorder="1"/>
    <xf numFmtId="179" fontId="110" fillId="70" borderId="49" xfId="1560" applyNumberFormat="1" applyFont="1" applyFill="1" applyBorder="1"/>
    <xf numFmtId="179" fontId="14" fillId="70" borderId="52" xfId="1560" applyNumberFormat="1" applyFont="1" applyFill="1" applyBorder="1"/>
    <xf numFmtId="179" fontId="132" fillId="70" borderId="52" xfId="1560" applyNumberFormat="1" applyFont="1" applyFill="1" applyBorder="1"/>
    <xf numFmtId="179" fontId="110" fillId="70" borderId="45" xfId="1560" applyNumberFormat="1" applyFont="1" applyFill="1" applyBorder="1"/>
    <xf numFmtId="0" fontId="0" fillId="70" borderId="46" xfId="0" applyFont="1" applyFill="1" applyBorder="1" applyAlignment="1">
      <alignment horizontal="left" indent="4"/>
    </xf>
    <xf numFmtId="179" fontId="14" fillId="70" borderId="0" xfId="1560" applyNumberFormat="1" applyFont="1" applyFill="1" applyBorder="1"/>
    <xf numFmtId="179" fontId="110" fillId="70" borderId="35" xfId="1560" applyNumberFormat="1" applyFont="1" applyFill="1" applyBorder="1"/>
    <xf numFmtId="179" fontId="110" fillId="70" borderId="51" xfId="1560" applyNumberFormat="1" applyFont="1" applyFill="1" applyBorder="1"/>
    <xf numFmtId="0" fontId="0" fillId="70" borderId="46" xfId="0" applyFont="1" applyFill="1" applyBorder="1" applyAlignment="1">
      <alignment horizontal="left" indent="3"/>
    </xf>
    <xf numFmtId="0" fontId="0" fillId="70" borderId="46" xfId="0" applyFont="1" applyFill="1" applyBorder="1" applyAlignment="1">
      <alignment horizontal="left" indent="2"/>
    </xf>
    <xf numFmtId="179" fontId="0" fillId="70" borderId="0" xfId="0" applyNumberFormat="1" applyFont="1" applyFill="1" applyBorder="1"/>
    <xf numFmtId="0" fontId="0" fillId="70" borderId="48" xfId="0" applyFont="1" applyFill="1" applyBorder="1" applyAlignment="1">
      <alignment horizontal="left" indent="2"/>
    </xf>
    <xf numFmtId="179" fontId="110" fillId="70" borderId="63" xfId="1560" applyNumberFormat="1" applyFont="1" applyFill="1" applyBorder="1"/>
    <xf numFmtId="179" fontId="110" fillId="70" borderId="62" xfId="1560" applyNumberFormat="1" applyFont="1" applyFill="1" applyBorder="1"/>
    <xf numFmtId="179" fontId="0" fillId="70" borderId="52" xfId="0" applyNumberFormat="1" applyFont="1" applyFill="1" applyBorder="1"/>
    <xf numFmtId="179" fontId="110" fillId="70" borderId="52" xfId="0" applyNumberFormat="1" applyFont="1" applyFill="1" applyBorder="1"/>
    <xf numFmtId="179" fontId="110" fillId="70" borderId="45" xfId="0" applyNumberFormat="1" applyFont="1" applyFill="1" applyBorder="1"/>
    <xf numFmtId="179" fontId="106" fillId="70" borderId="31" xfId="1560" applyNumberFormat="1" applyFont="1" applyFill="1" applyBorder="1"/>
    <xf numFmtId="179" fontId="1" fillId="70" borderId="48" xfId="1560" applyNumberFormat="1" applyFont="1" applyFill="1" applyBorder="1"/>
    <xf numFmtId="0" fontId="118" fillId="0" borderId="0" xfId="0" applyFont="1" applyFill="1" applyAlignment="1">
      <alignment vertical="top" wrapText="1"/>
    </xf>
    <xf numFmtId="179" fontId="118" fillId="0" borderId="0" xfId="1560" applyNumberFormat="1" applyFont="1" applyFill="1" applyBorder="1"/>
    <xf numFmtId="179" fontId="110" fillId="0" borderId="0" xfId="0" applyNumberFormat="1" applyFont="1" applyFill="1"/>
    <xf numFmtId="0" fontId="134" fillId="82" borderId="57" xfId="0" applyFont="1" applyFill="1" applyBorder="1" applyAlignment="1">
      <alignment horizontal="center"/>
    </xf>
    <xf numFmtId="0" fontId="132" fillId="76" borderId="57" xfId="0" applyFont="1" applyFill="1" applyBorder="1" applyAlignment="1">
      <alignment horizontal="center"/>
    </xf>
    <xf numFmtId="3" fontId="132" fillId="76" borderId="46" xfId="0" applyNumberFormat="1" applyFont="1" applyFill="1" applyBorder="1" applyAlignment="1">
      <alignment horizontal="center"/>
    </xf>
    <xf numFmtId="0" fontId="134" fillId="74" borderId="57" xfId="0" applyFont="1" applyFill="1" applyBorder="1" applyAlignment="1">
      <alignment horizontal="center"/>
    </xf>
    <xf numFmtId="0" fontId="118" fillId="74" borderId="16" xfId="0" applyFont="1" applyFill="1" applyBorder="1" applyAlignment="1">
      <alignment horizontal="center"/>
    </xf>
    <xf numFmtId="0" fontId="118" fillId="74" borderId="58" xfId="0" applyFont="1" applyFill="1" applyBorder="1" applyAlignment="1">
      <alignment horizontal="center"/>
    </xf>
    <xf numFmtId="179" fontId="110" fillId="70" borderId="44" xfId="0" applyNumberFormat="1" applyFont="1" applyFill="1" applyBorder="1" applyAlignment="1">
      <alignment horizontal="left"/>
    </xf>
    <xf numFmtId="179" fontId="110" fillId="70" borderId="46" xfId="0" applyNumberFormat="1" applyFont="1" applyFill="1" applyBorder="1" applyAlignment="1">
      <alignment horizontal="left"/>
    </xf>
    <xf numFmtId="179" fontId="132" fillId="70" borderId="46" xfId="0" applyNumberFormat="1" applyFont="1" applyFill="1" applyBorder="1" applyAlignment="1">
      <alignment horizontal="left"/>
    </xf>
    <xf numFmtId="179" fontId="110" fillId="70" borderId="50" xfId="0" applyNumberFormat="1" applyFont="1" applyFill="1" applyBorder="1" applyAlignment="1">
      <alignment horizontal="left"/>
    </xf>
    <xf numFmtId="0" fontId="110" fillId="70" borderId="48" xfId="0" applyFont="1" applyFill="1" applyBorder="1" applyAlignment="1">
      <alignment horizontal="right"/>
    </xf>
    <xf numFmtId="0" fontId="110" fillId="70" borderId="46" xfId="0" applyFont="1" applyFill="1" applyBorder="1" applyAlignment="1">
      <alignment horizontal="left"/>
    </xf>
    <xf numFmtId="179" fontId="110" fillId="70" borderId="44" xfId="0" applyNumberFormat="1" applyFont="1" applyFill="1" applyBorder="1"/>
    <xf numFmtId="0" fontId="118" fillId="76" borderId="57" xfId="0" applyFont="1" applyFill="1" applyBorder="1" applyAlignment="1">
      <alignment horizontal="center"/>
    </xf>
    <xf numFmtId="0" fontId="118" fillId="76" borderId="16" xfId="0" applyFont="1" applyFill="1" applyBorder="1" applyAlignment="1">
      <alignment horizontal="center"/>
    </xf>
    <xf numFmtId="0" fontId="118" fillId="76" borderId="58" xfId="0" applyFont="1" applyFill="1" applyBorder="1" applyAlignment="1">
      <alignment horizontal="center"/>
    </xf>
    <xf numFmtId="179" fontId="118" fillId="82" borderId="16" xfId="1560" applyNumberFormat="1" applyFont="1" applyFill="1" applyBorder="1"/>
    <xf numFmtId="179" fontId="118" fillId="82" borderId="58" xfId="1560" applyNumberFormat="1" applyFont="1" applyFill="1" applyBorder="1"/>
    <xf numFmtId="0" fontId="110" fillId="70" borderId="44" xfId="0" applyFont="1" applyFill="1" applyBorder="1" applyAlignment="1">
      <alignment horizontal="left" indent="2"/>
    </xf>
    <xf numFmtId="0" fontId="110" fillId="70" borderId="46" xfId="0" applyFont="1" applyFill="1" applyBorder="1" applyAlignment="1">
      <alignment horizontal="left" indent="2"/>
    </xf>
    <xf numFmtId="0" fontId="132" fillId="70" borderId="46" xfId="0" applyFont="1" applyFill="1" applyBorder="1" applyAlignment="1">
      <alignment horizontal="left" indent="2"/>
    </xf>
    <xf numFmtId="179" fontId="132" fillId="70" borderId="47" xfId="1560" applyNumberFormat="1" applyFont="1" applyFill="1" applyBorder="1"/>
    <xf numFmtId="0" fontId="118" fillId="70" borderId="46" xfId="0" applyFont="1" applyFill="1" applyBorder="1" applyAlignment="1">
      <alignment horizontal="left"/>
    </xf>
    <xf numFmtId="179" fontId="118" fillId="70" borderId="0" xfId="1560" applyNumberFormat="1" applyFont="1" applyFill="1" applyBorder="1"/>
    <xf numFmtId="179" fontId="118" fillId="70" borderId="47" xfId="1560" applyNumberFormat="1" applyFont="1" applyFill="1" applyBorder="1"/>
    <xf numFmtId="0" fontId="110" fillId="70" borderId="46" xfId="0" applyFont="1" applyFill="1" applyBorder="1" applyAlignment="1">
      <alignment horizontal="left" indent="1"/>
    </xf>
    <xf numFmtId="0" fontId="118" fillId="70" borderId="48" xfId="0" applyFont="1" applyFill="1" applyBorder="1"/>
    <xf numFmtId="179" fontId="118" fillId="70" borderId="31" xfId="1560" applyNumberFormat="1" applyFont="1" applyFill="1" applyBorder="1"/>
    <xf numFmtId="179" fontId="118" fillId="70" borderId="49" xfId="1560" applyNumberFormat="1" applyFont="1" applyFill="1" applyBorder="1"/>
    <xf numFmtId="0" fontId="110" fillId="70" borderId="44" xfId="0" applyFont="1" applyFill="1" applyBorder="1"/>
    <xf numFmtId="0" fontId="132" fillId="70" borderId="46" xfId="0" applyFont="1" applyFill="1" applyBorder="1"/>
    <xf numFmtId="0" fontId="110" fillId="70" borderId="48" xfId="0" applyFont="1" applyFill="1" applyBorder="1" applyAlignment="1">
      <alignment vertical="center"/>
    </xf>
    <xf numFmtId="0" fontId="135" fillId="75" borderId="0" xfId="0" applyFont="1" applyFill="1" applyAlignment="1">
      <alignment horizontal="center"/>
    </xf>
    <xf numFmtId="0" fontId="118" fillId="74" borderId="57" xfId="0" applyFont="1" applyFill="1" applyBorder="1"/>
    <xf numFmtId="0" fontId="136" fillId="70" borderId="44" xfId="0" applyFont="1" applyFill="1" applyBorder="1"/>
    <xf numFmtId="0" fontId="136" fillId="70" borderId="52" xfId="0" applyFont="1" applyFill="1" applyBorder="1"/>
    <xf numFmtId="0" fontId="136" fillId="70" borderId="45" xfId="0" applyFont="1" applyFill="1" applyBorder="1"/>
    <xf numFmtId="0" fontId="16" fillId="70" borderId="46" xfId="0" applyFont="1" applyFill="1" applyBorder="1" applyAlignment="1"/>
    <xf numFmtId="0" fontId="16" fillId="70" borderId="46" xfId="0" applyFont="1" applyFill="1" applyBorder="1" applyAlignment="1">
      <alignment horizontal="center" wrapText="1"/>
    </xf>
    <xf numFmtId="0" fontId="16" fillId="70" borderId="0" xfId="0" applyFont="1" applyFill="1" applyBorder="1" applyAlignment="1">
      <alignment horizontal="center"/>
    </xf>
    <xf numFmtId="0" fontId="16" fillId="70" borderId="47" xfId="0" applyFont="1" applyFill="1" applyBorder="1" applyAlignment="1">
      <alignment horizontal="center"/>
    </xf>
    <xf numFmtId="0" fontId="16" fillId="70" borderId="46" xfId="0" applyFont="1" applyFill="1" applyBorder="1"/>
    <xf numFmtId="0" fontId="106" fillId="70" borderId="46" xfId="0" applyFont="1" applyFill="1" applyBorder="1" applyAlignment="1">
      <alignment horizontal="right"/>
    </xf>
    <xf numFmtId="0" fontId="0" fillId="70" borderId="46" xfId="0" applyFill="1" applyBorder="1" applyAlignment="1">
      <alignment horizontal="right"/>
    </xf>
    <xf numFmtId="0" fontId="0" fillId="70" borderId="46" xfId="0" applyFill="1" applyBorder="1"/>
    <xf numFmtId="0" fontId="0" fillId="70" borderId="48" xfId="0" applyFill="1" applyBorder="1"/>
    <xf numFmtId="0" fontId="16" fillId="82" borderId="46" xfId="0" applyFont="1" applyFill="1" applyBorder="1"/>
    <xf numFmtId="0" fontId="0" fillId="82" borderId="47" xfId="0" applyFill="1" applyBorder="1"/>
    <xf numFmtId="0" fontId="110" fillId="70" borderId="0" xfId="0" applyFont="1" applyFill="1" applyBorder="1" applyAlignment="1">
      <alignment horizontal="left"/>
    </xf>
    <xf numFmtId="0" fontId="110" fillId="70" borderId="0" xfId="0" applyFont="1" applyFill="1" applyBorder="1" applyAlignment="1">
      <alignment horizontal="right"/>
    </xf>
    <xf numFmtId="0" fontId="110" fillId="82" borderId="0" xfId="0" applyFont="1" applyFill="1" applyBorder="1"/>
    <xf numFmtId="179" fontId="110" fillId="82" borderId="0" xfId="1560" applyNumberFormat="1" applyFont="1" applyFill="1" applyBorder="1"/>
    <xf numFmtId="179" fontId="110" fillId="82" borderId="47" xfId="1560" applyNumberFormat="1" applyFont="1" applyFill="1" applyBorder="1"/>
    <xf numFmtId="0" fontId="110" fillId="70" borderId="35" xfId="0" applyFont="1" applyFill="1" applyBorder="1" applyAlignment="1">
      <alignment horizontal="right"/>
    </xf>
    <xf numFmtId="0" fontId="118" fillId="76" borderId="57" xfId="0" applyFont="1" applyFill="1" applyBorder="1" applyAlignment="1"/>
    <xf numFmtId="0" fontId="118" fillId="76" borderId="16" xfId="0" applyFont="1" applyFill="1" applyBorder="1" applyAlignment="1"/>
    <xf numFmtId="0" fontId="118" fillId="76" borderId="58" xfId="0" applyFont="1" applyFill="1" applyBorder="1" applyAlignment="1"/>
    <xf numFmtId="0" fontId="19" fillId="76" borderId="44" xfId="0" applyFont="1" applyFill="1" applyBorder="1" applyAlignment="1">
      <alignment horizontal="right"/>
    </xf>
    <xf numFmtId="10" fontId="110" fillId="76" borderId="52" xfId="0" applyNumberFormat="1" applyFont="1" applyFill="1" applyBorder="1" applyAlignment="1">
      <alignment horizontal="center"/>
    </xf>
    <xf numFmtId="0" fontId="0" fillId="76" borderId="52" xfId="0" applyFill="1" applyBorder="1"/>
    <xf numFmtId="0" fontId="0" fillId="76" borderId="45" xfId="0" applyFill="1" applyBorder="1"/>
    <xf numFmtId="0" fontId="118" fillId="76" borderId="48" xfId="0" applyFont="1" applyFill="1" applyBorder="1" applyAlignment="1">
      <alignment horizontal="right"/>
    </xf>
    <xf numFmtId="0" fontId="110" fillId="76" borderId="31" xfId="0" applyFont="1" applyFill="1" applyBorder="1" applyAlignment="1">
      <alignment horizontal="center"/>
    </xf>
    <xf numFmtId="0" fontId="0" fillId="76" borderId="31" xfId="0" applyFill="1" applyBorder="1"/>
    <xf numFmtId="0" fontId="0" fillId="76" borderId="49" xfId="0" applyFill="1" applyBorder="1"/>
    <xf numFmtId="0" fontId="137" fillId="70" borderId="16" xfId="0" applyFont="1" applyFill="1" applyBorder="1"/>
    <xf numFmtId="0" fontId="137" fillId="70" borderId="58" xfId="0" applyFont="1" applyFill="1" applyBorder="1"/>
    <xf numFmtId="0" fontId="0" fillId="70" borderId="57" xfId="0" applyFill="1" applyBorder="1"/>
    <xf numFmtId="0" fontId="0" fillId="70" borderId="16" xfId="0" applyFill="1" applyBorder="1"/>
    <xf numFmtId="0" fontId="16" fillId="82" borderId="57" xfId="0" applyFont="1" applyFill="1" applyBorder="1"/>
    <xf numFmtId="0" fontId="0" fillId="82" borderId="16" xfId="0" applyFill="1" applyBorder="1"/>
    <xf numFmtId="0" fontId="0" fillId="82" borderId="61" xfId="0" applyFill="1" applyBorder="1"/>
    <xf numFmtId="0" fontId="0" fillId="82" borderId="57" xfId="0" applyFill="1" applyBorder="1"/>
    <xf numFmtId="0" fontId="0" fillId="82" borderId="58" xfId="0" applyFill="1" applyBorder="1"/>
    <xf numFmtId="0" fontId="16" fillId="82" borderId="32" xfId="0" applyFont="1" applyFill="1" applyBorder="1" applyAlignment="1">
      <alignment horizontal="center" wrapText="1"/>
    </xf>
    <xf numFmtId="0" fontId="16" fillId="82" borderId="0" xfId="0" applyFont="1" applyFill="1" applyBorder="1" applyAlignment="1">
      <alignment horizontal="center"/>
    </xf>
    <xf numFmtId="0" fontId="16" fillId="82" borderId="53" xfId="0" applyFont="1" applyFill="1" applyBorder="1" applyAlignment="1">
      <alignment horizontal="center"/>
    </xf>
    <xf numFmtId="0" fontId="16" fillId="82" borderId="61" xfId="0" applyFont="1" applyFill="1" applyBorder="1" applyAlignment="1">
      <alignment horizontal="center"/>
    </xf>
    <xf numFmtId="0" fontId="16" fillId="82" borderId="46" xfId="0" applyFont="1" applyFill="1" applyBorder="1" applyAlignment="1">
      <alignment horizontal="center"/>
    </xf>
    <xf numFmtId="0" fontId="16" fillId="82" borderId="47" xfId="0" applyFont="1" applyFill="1" applyBorder="1" applyAlignment="1">
      <alignment horizontal="center"/>
    </xf>
    <xf numFmtId="0" fontId="16" fillId="82" borderId="32" xfId="0" applyFont="1" applyFill="1" applyBorder="1" applyAlignment="1"/>
    <xf numFmtId="0" fontId="16" fillId="82" borderId="0" xfId="0" applyFont="1" applyFill="1" applyBorder="1" applyAlignment="1"/>
    <xf numFmtId="0" fontId="16" fillId="82" borderId="53" xfId="0" applyFont="1" applyFill="1" applyBorder="1" applyAlignment="1"/>
    <xf numFmtId="0" fontId="16" fillId="82" borderId="57" xfId="0" applyFont="1" applyFill="1" applyBorder="1" applyAlignment="1">
      <alignment horizontal="left"/>
    </xf>
    <xf numFmtId="0" fontId="16" fillId="0" borderId="0" xfId="0" applyFont="1" applyFill="1" applyBorder="1" applyAlignment="1">
      <alignment horizontal="left"/>
    </xf>
    <xf numFmtId="0" fontId="109" fillId="0" borderId="0" xfId="0" applyFont="1" applyFill="1" applyBorder="1"/>
    <xf numFmtId="0" fontId="112" fillId="70" borderId="46" xfId="0" applyFont="1" applyFill="1" applyBorder="1" applyAlignment="1">
      <alignment horizontal="center"/>
    </xf>
    <xf numFmtId="0" fontId="109" fillId="70" borderId="46" xfId="0" applyFont="1" applyFill="1" applyBorder="1"/>
    <xf numFmtId="0" fontId="109" fillId="70" borderId="48" xfId="0" applyFont="1" applyFill="1" applyBorder="1"/>
    <xf numFmtId="0" fontId="16" fillId="82" borderId="57" xfId="0" applyFont="1" applyFill="1" applyBorder="1" applyAlignment="1">
      <alignment horizontal="center"/>
    </xf>
    <xf numFmtId="179" fontId="113" fillId="70" borderId="47" xfId="1560" applyNumberFormat="1" applyFont="1" applyFill="1" applyBorder="1"/>
    <xf numFmtId="9" fontId="113" fillId="70" borderId="47" xfId="1582" applyFont="1" applyFill="1" applyBorder="1"/>
    <xf numFmtId="1" fontId="110" fillId="70" borderId="49" xfId="0" applyNumberFormat="1" applyFont="1" applyFill="1" applyBorder="1"/>
    <xf numFmtId="0" fontId="110" fillId="82" borderId="61" xfId="0" applyFont="1" applyFill="1" applyBorder="1"/>
    <xf numFmtId="0" fontId="110" fillId="82" borderId="57" xfId="0" applyFont="1" applyFill="1" applyBorder="1"/>
    <xf numFmtId="0" fontId="110" fillId="82" borderId="58" xfId="0" applyFont="1" applyFill="1" applyBorder="1"/>
    <xf numFmtId="179" fontId="118" fillId="0" borderId="0" xfId="0" applyNumberFormat="1" applyFont="1" applyFill="1" applyBorder="1"/>
    <xf numFmtId="0" fontId="116" fillId="82" borderId="58" xfId="0" applyFont="1" applyFill="1" applyBorder="1" applyAlignment="1">
      <alignment horizontal="center"/>
    </xf>
    <xf numFmtId="0" fontId="113" fillId="0" borderId="0" xfId="0" applyFont="1" applyFill="1" applyBorder="1" applyAlignment="1">
      <alignment horizontal="center"/>
    </xf>
    <xf numFmtId="0" fontId="0" fillId="82" borderId="16" xfId="0" applyFont="1" applyFill="1" applyBorder="1"/>
    <xf numFmtId="0" fontId="16" fillId="82" borderId="16" xfId="0" applyFont="1" applyFill="1" applyBorder="1"/>
    <xf numFmtId="179" fontId="118" fillId="82" borderId="61" xfId="0" applyNumberFormat="1" applyFont="1" applyFill="1" applyBorder="1"/>
    <xf numFmtId="179" fontId="118" fillId="82" borderId="57" xfId="0" applyNumberFormat="1" applyFont="1" applyFill="1" applyBorder="1"/>
    <xf numFmtId="179" fontId="118" fillId="82" borderId="58" xfId="0" applyNumberFormat="1" applyFont="1" applyFill="1" applyBorder="1"/>
    <xf numFmtId="0" fontId="0" fillId="70" borderId="32" xfId="0" applyFill="1" applyBorder="1" applyAlignment="1">
      <alignment horizontal="left" indent="2"/>
    </xf>
    <xf numFmtId="179" fontId="110" fillId="70" borderId="54" xfId="0" applyNumberFormat="1" applyFont="1" applyFill="1" applyBorder="1"/>
    <xf numFmtId="179" fontId="110" fillId="70" borderId="54" xfId="1560" applyNumberFormat="1" applyFont="1" applyFill="1" applyBorder="1"/>
    <xf numFmtId="0" fontId="110" fillId="70" borderId="54" xfId="0" applyFont="1" applyFill="1" applyBorder="1"/>
    <xf numFmtId="10" fontId="110" fillId="70" borderId="54" xfId="0" applyNumberFormat="1" applyFont="1" applyFill="1" applyBorder="1"/>
    <xf numFmtId="10" fontId="110" fillId="70" borderId="46" xfId="0" applyNumberFormat="1" applyFont="1" applyFill="1" applyBorder="1"/>
    <xf numFmtId="10" fontId="110" fillId="70" borderId="47" xfId="0" applyNumberFormat="1" applyFont="1" applyFill="1" applyBorder="1"/>
    <xf numFmtId="0" fontId="0" fillId="70" borderId="32" xfId="0" applyFill="1" applyBorder="1" applyAlignment="1">
      <alignment horizontal="left" indent="4"/>
    </xf>
    <xf numFmtId="0" fontId="0" fillId="70" borderId="32" xfId="0" applyFill="1" applyBorder="1"/>
    <xf numFmtId="0" fontId="0" fillId="70" borderId="32" xfId="0" applyFont="1" applyFill="1" applyBorder="1" applyAlignment="1">
      <alignment horizontal="left"/>
    </xf>
    <xf numFmtId="179" fontId="132" fillId="70" borderId="54" xfId="0" applyNumberFormat="1" applyFont="1" applyFill="1" applyBorder="1"/>
    <xf numFmtId="179" fontId="132" fillId="70" borderId="54" xfId="1560" applyNumberFormat="1" applyFont="1" applyFill="1" applyBorder="1"/>
    <xf numFmtId="10" fontId="0" fillId="70" borderId="0" xfId="1582" applyNumberFormat="1" applyFont="1" applyFill="1" applyBorder="1"/>
    <xf numFmtId="179" fontId="110" fillId="70" borderId="32" xfId="0" applyNumberFormat="1" applyFont="1" applyFill="1" applyBorder="1"/>
    <xf numFmtId="0" fontId="16" fillId="70" borderId="57" xfId="0" applyFont="1" applyFill="1" applyBorder="1" applyAlignment="1">
      <alignment horizontal="center" wrapText="1"/>
    </xf>
    <xf numFmtId="0" fontId="16" fillId="70" borderId="16" xfId="0" applyFont="1" applyFill="1" applyBorder="1" applyAlignment="1">
      <alignment horizontal="center"/>
    </xf>
    <xf numFmtId="0" fontId="16" fillId="70" borderId="65" xfId="0" applyFont="1" applyFill="1" applyBorder="1" applyAlignment="1">
      <alignment horizontal="center"/>
    </xf>
    <xf numFmtId="0" fontId="16" fillId="70" borderId="58" xfId="0" applyFont="1" applyFill="1" applyBorder="1" applyAlignment="1">
      <alignment horizontal="center"/>
    </xf>
    <xf numFmtId="0" fontId="0" fillId="82" borderId="64" xfId="0" applyFill="1" applyBorder="1"/>
    <xf numFmtId="0" fontId="0" fillId="82" borderId="65" xfId="0" applyFill="1" applyBorder="1"/>
    <xf numFmtId="0" fontId="0" fillId="82" borderId="31" xfId="0" applyFill="1" applyBorder="1"/>
    <xf numFmtId="0" fontId="0" fillId="70" borderId="44" xfId="0" applyFill="1" applyBorder="1" applyAlignment="1">
      <alignment horizontal="left"/>
    </xf>
    <xf numFmtId="0" fontId="0" fillId="70" borderId="52" xfId="0" applyFill="1" applyBorder="1"/>
    <xf numFmtId="0" fontId="0" fillId="70" borderId="46" xfId="0" applyFill="1" applyBorder="1" applyAlignment="1">
      <alignment horizontal="left"/>
    </xf>
    <xf numFmtId="0" fontId="0" fillId="70" borderId="46" xfId="0" applyFill="1" applyBorder="1" applyAlignment="1">
      <alignment horizontal="left" indent="3"/>
    </xf>
    <xf numFmtId="0" fontId="0" fillId="70" borderId="44" xfId="0" applyFill="1" applyBorder="1" applyAlignment="1">
      <alignment horizontal="left" indent="2"/>
    </xf>
    <xf numFmtId="179" fontId="110" fillId="70" borderId="66" xfId="0" applyNumberFormat="1" applyFont="1" applyFill="1" applyBorder="1"/>
    <xf numFmtId="0" fontId="16" fillId="70" borderId="48" xfId="0" applyFont="1" applyFill="1" applyBorder="1"/>
    <xf numFmtId="179" fontId="110" fillId="70" borderId="66" xfId="1560" applyNumberFormat="1" applyFont="1" applyFill="1" applyBorder="1"/>
    <xf numFmtId="179" fontId="110" fillId="70" borderId="43" xfId="0" applyNumberFormat="1" applyFont="1" applyFill="1" applyBorder="1"/>
    <xf numFmtId="179" fontId="110" fillId="70" borderId="32" xfId="1560" applyNumberFormat="1" applyFont="1" applyFill="1" applyBorder="1"/>
    <xf numFmtId="10" fontId="110" fillId="70" borderId="32" xfId="1582" applyNumberFormat="1" applyFont="1" applyFill="1" applyBorder="1"/>
    <xf numFmtId="10" fontId="110" fillId="70" borderId="47" xfId="1582" applyNumberFormat="1" applyFont="1" applyFill="1" applyBorder="1"/>
    <xf numFmtId="0" fontId="110" fillId="70" borderId="59" xfId="0" applyFont="1" applyFill="1" applyBorder="1"/>
    <xf numFmtId="0" fontId="110" fillId="70" borderId="49" xfId="0" applyFont="1" applyFill="1" applyBorder="1"/>
    <xf numFmtId="0" fontId="110" fillId="82" borderId="65" xfId="0" applyFont="1" applyFill="1" applyBorder="1"/>
    <xf numFmtId="0" fontId="110" fillId="70" borderId="32" xfId="0" applyFont="1" applyFill="1" applyBorder="1"/>
    <xf numFmtId="179" fontId="118" fillId="82" borderId="65" xfId="0" applyNumberFormat="1" applyFont="1" applyFill="1" applyBorder="1"/>
    <xf numFmtId="0" fontId="0" fillId="70" borderId="46" xfId="0" applyFont="1" applyFill="1" applyBorder="1" applyAlignment="1">
      <alignment horizontal="left"/>
    </xf>
    <xf numFmtId="37" fontId="116" fillId="82" borderId="0" xfId="1619" applyNumberFormat="1" applyFont="1" applyFill="1" applyBorder="1" applyAlignment="1">
      <alignment horizontal="center"/>
    </xf>
    <xf numFmtId="0" fontId="16" fillId="82" borderId="0" xfId="0" applyFont="1" applyFill="1" applyBorder="1"/>
    <xf numFmtId="37" fontId="116" fillId="82" borderId="52" xfId="1619" applyNumberFormat="1" applyFont="1" applyFill="1" applyBorder="1" applyAlignment="1">
      <alignment horizontal="center"/>
    </xf>
    <xf numFmtId="37" fontId="116" fillId="82" borderId="45" xfId="1619" applyNumberFormat="1" applyFont="1" applyFill="1" applyBorder="1" applyAlignment="1">
      <alignment horizontal="center"/>
    </xf>
    <xf numFmtId="37" fontId="116" fillId="82" borderId="47" xfId="1619" applyNumberFormat="1" applyFont="1" applyFill="1" applyBorder="1" applyAlignment="1">
      <alignment horizontal="center"/>
    </xf>
    <xf numFmtId="0" fontId="0" fillId="82" borderId="48" xfId="0" applyFill="1" applyBorder="1" applyAlignment="1">
      <alignment horizontal="left"/>
    </xf>
    <xf numFmtId="37" fontId="116" fillId="82" borderId="31" xfId="1619" applyNumberFormat="1" applyFont="1" applyFill="1" applyBorder="1" applyAlignment="1">
      <alignment horizontal="center"/>
    </xf>
    <xf numFmtId="37" fontId="116" fillId="82" borderId="49" xfId="1619" applyNumberFormat="1" applyFont="1" applyFill="1" applyBorder="1" applyAlignment="1">
      <alignment horizontal="center"/>
    </xf>
    <xf numFmtId="0" fontId="104" fillId="82" borderId="57" xfId="0" applyFont="1" applyFill="1" applyBorder="1" applyAlignment="1">
      <alignment horizontal="left" indent="1"/>
    </xf>
    <xf numFmtId="0" fontId="16" fillId="82" borderId="16" xfId="0" applyFont="1" applyFill="1" applyBorder="1" applyAlignment="1"/>
    <xf numFmtId="0" fontId="16" fillId="82" borderId="16" xfId="0" applyFont="1" applyFill="1" applyBorder="1" applyAlignment="1">
      <alignment horizontal="right"/>
    </xf>
    <xf numFmtId="0" fontId="0" fillId="82" borderId="58" xfId="0" applyFont="1" applyFill="1" applyBorder="1"/>
    <xf numFmtId="0" fontId="0" fillId="70" borderId="44" xfId="0" applyFill="1" applyBorder="1"/>
    <xf numFmtId="0" fontId="16" fillId="70" borderId="52" xfId="0" applyFont="1" applyFill="1" applyBorder="1" applyAlignment="1">
      <alignment horizontal="right"/>
    </xf>
    <xf numFmtId="0" fontId="16" fillId="70" borderId="0" xfId="0" applyFont="1" applyFill="1" applyBorder="1" applyAlignment="1">
      <alignment horizontal="left" indent="2"/>
    </xf>
    <xf numFmtId="0" fontId="0" fillId="70" borderId="46" xfId="0" applyFill="1" applyBorder="1" applyAlignment="1">
      <alignment horizontal="left" indent="4"/>
    </xf>
    <xf numFmtId="0" fontId="16" fillId="70" borderId="46" xfId="0" applyFont="1" applyFill="1" applyBorder="1" applyAlignment="1">
      <alignment horizontal="left" indent="5"/>
    </xf>
    <xf numFmtId="0" fontId="104" fillId="70" borderId="46" xfId="0" applyFont="1" applyFill="1" applyBorder="1" applyAlignment="1">
      <alignment horizontal="left" indent="1"/>
    </xf>
    <xf numFmtId="0" fontId="16" fillId="70" borderId="0" xfId="0" applyFont="1" applyFill="1" applyBorder="1" applyAlignment="1">
      <alignment horizontal="left" indent="4"/>
    </xf>
    <xf numFmtId="0" fontId="16" fillId="70" borderId="52" xfId="0" applyFont="1" applyFill="1" applyBorder="1"/>
    <xf numFmtId="0" fontId="16" fillId="70" borderId="31" xfId="0" applyFont="1" applyFill="1" applyBorder="1" applyAlignment="1">
      <alignment horizontal="left" indent="4"/>
    </xf>
    <xf numFmtId="179" fontId="118" fillId="70" borderId="47" xfId="0" applyNumberFormat="1" applyFont="1" applyFill="1" applyBorder="1"/>
    <xf numFmtId="0" fontId="110" fillId="82" borderId="16" xfId="0" applyFont="1" applyFill="1" applyBorder="1"/>
    <xf numFmtId="179" fontId="118" fillId="70" borderId="31" xfId="0" applyNumberFormat="1" applyFont="1" applyFill="1" applyBorder="1"/>
    <xf numFmtId="179" fontId="118" fillId="70" borderId="49" xfId="0" applyNumberFormat="1" applyFont="1" applyFill="1" applyBorder="1"/>
    <xf numFmtId="0" fontId="118" fillId="0" borderId="0" xfId="0" applyFont="1"/>
    <xf numFmtId="0" fontId="118" fillId="82" borderId="16" xfId="0" applyFont="1" applyFill="1" applyBorder="1"/>
    <xf numFmtId="0" fontId="118" fillId="82" borderId="58" xfId="0" applyFont="1" applyFill="1" applyBorder="1"/>
    <xf numFmtId="0" fontId="16" fillId="70" borderId="31" xfId="0" applyFont="1" applyFill="1" applyBorder="1"/>
    <xf numFmtId="0" fontId="116" fillId="70" borderId="46" xfId="1615" applyFont="1" applyFill="1" applyBorder="1"/>
    <xf numFmtId="0" fontId="113" fillId="70" borderId="46" xfId="1617" applyFont="1" applyFill="1" applyBorder="1" applyAlignment="1">
      <alignment horizontal="left" indent="2"/>
    </xf>
    <xf numFmtId="0" fontId="113" fillId="70" borderId="46" xfId="1617" applyFont="1" applyFill="1" applyBorder="1" applyAlignment="1">
      <alignment horizontal="left" indent="5"/>
    </xf>
    <xf numFmtId="0" fontId="113" fillId="70" borderId="46" xfId="1621" applyFont="1" applyFill="1" applyBorder="1" applyAlignment="1">
      <alignment horizontal="left" indent="2"/>
    </xf>
    <xf numFmtId="0" fontId="113" fillId="70" borderId="46" xfId="1621" applyFont="1" applyFill="1" applyBorder="1" applyAlignment="1">
      <alignment horizontal="left" indent="5"/>
    </xf>
    <xf numFmtId="0" fontId="113" fillId="70" borderId="46" xfId="1623" applyFont="1" applyFill="1" applyBorder="1" applyAlignment="1">
      <alignment horizontal="left" indent="2"/>
    </xf>
    <xf numFmtId="0" fontId="116" fillId="70" borderId="46" xfId="1623" applyFont="1" applyFill="1" applyBorder="1" applyAlignment="1">
      <alignment horizontal="left" indent="5"/>
    </xf>
    <xf numFmtId="0" fontId="113" fillId="70" borderId="46" xfId="1625" applyFont="1" applyFill="1" applyBorder="1" applyAlignment="1">
      <alignment horizontal="left" indent="2"/>
    </xf>
    <xf numFmtId="0" fontId="116" fillId="70" borderId="46" xfId="1628" applyFont="1" applyFill="1" applyBorder="1" applyAlignment="1">
      <alignment horizontal="left" indent="5"/>
    </xf>
    <xf numFmtId="0" fontId="138" fillId="70" borderId="46" xfId="0" applyFont="1" applyFill="1" applyBorder="1"/>
    <xf numFmtId="9" fontId="113" fillId="70" borderId="0" xfId="1582" applyFont="1" applyFill="1" applyBorder="1"/>
    <xf numFmtId="10" fontId="113" fillId="70" borderId="0" xfId="1582" applyNumberFormat="1" applyFont="1" applyFill="1" applyBorder="1"/>
    <xf numFmtId="10" fontId="113" fillId="70" borderId="47" xfId="1582" applyNumberFormat="1" applyFont="1" applyFill="1" applyBorder="1"/>
    <xf numFmtId="0" fontId="126" fillId="70" borderId="46" xfId="0" applyFont="1" applyFill="1" applyBorder="1" applyAlignment="1">
      <alignment horizontal="left" indent="1"/>
    </xf>
    <xf numFmtId="0" fontId="110" fillId="70" borderId="46" xfId="0" applyFont="1" applyFill="1" applyBorder="1" applyAlignment="1">
      <alignment horizontal="left" indent="4"/>
    </xf>
    <xf numFmtId="0" fontId="118" fillId="70" borderId="46" xfId="0" applyFont="1" applyFill="1" applyBorder="1" applyAlignment="1">
      <alignment horizontal="left" indent="5"/>
    </xf>
    <xf numFmtId="37" fontId="110" fillId="70" borderId="0" xfId="0" applyNumberFormat="1" applyFont="1" applyFill="1" applyBorder="1"/>
    <xf numFmtId="0" fontId="110" fillId="70" borderId="46" xfId="0" applyFont="1" applyFill="1" applyBorder="1" applyAlignment="1">
      <alignment horizontal="left" indent="3"/>
    </xf>
    <xf numFmtId="37" fontId="110" fillId="70" borderId="47" xfId="0" applyNumberFormat="1" applyFont="1" applyFill="1" applyBorder="1"/>
    <xf numFmtId="182" fontId="113" fillId="70" borderId="0" xfId="0" applyNumberFormat="1" applyFont="1" applyFill="1" applyBorder="1"/>
    <xf numFmtId="182" fontId="113" fillId="70" borderId="0" xfId="1582" applyNumberFormat="1" applyFont="1" applyFill="1" applyBorder="1"/>
    <xf numFmtId="182" fontId="113" fillId="70" borderId="47" xfId="1582" applyNumberFormat="1" applyFont="1" applyFill="1" applyBorder="1"/>
    <xf numFmtId="0" fontId="116" fillId="70" borderId="46" xfId="0" applyFont="1" applyFill="1" applyBorder="1"/>
    <xf numFmtId="0" fontId="110" fillId="70" borderId="46" xfId="0" applyFont="1" applyFill="1" applyBorder="1" applyAlignment="1">
      <alignment horizontal="left" indent="5"/>
    </xf>
    <xf numFmtId="179" fontId="110" fillId="70" borderId="35" xfId="0" applyNumberFormat="1" applyFont="1" applyFill="1" applyBorder="1"/>
    <xf numFmtId="180" fontId="110" fillId="70" borderId="0" xfId="1560" applyNumberFormat="1" applyFont="1" applyFill="1" applyBorder="1"/>
    <xf numFmtId="0" fontId="118" fillId="70" borderId="48" xfId="0" applyFont="1" applyFill="1" applyBorder="1" applyAlignment="1">
      <alignment horizontal="left" indent="1"/>
    </xf>
    <xf numFmtId="0" fontId="118" fillId="82" borderId="65" xfId="0" applyFont="1" applyFill="1" applyBorder="1" applyAlignment="1">
      <alignment horizontal="center" wrapText="1"/>
    </xf>
    <xf numFmtId="0" fontId="118" fillId="82" borderId="16" xfId="0" applyFont="1" applyFill="1" applyBorder="1" applyAlignment="1">
      <alignment horizontal="center" wrapText="1"/>
    </xf>
    <xf numFmtId="0" fontId="118" fillId="82" borderId="58" xfId="0" applyFont="1" applyFill="1" applyBorder="1" applyAlignment="1">
      <alignment horizontal="center" wrapText="1"/>
    </xf>
    <xf numFmtId="0" fontId="118" fillId="82" borderId="57" xfId="0" applyFont="1" applyFill="1" applyBorder="1"/>
    <xf numFmtId="43" fontId="110" fillId="70" borderId="0" xfId="0" applyNumberFormat="1" applyFont="1" applyFill="1" applyBorder="1"/>
    <xf numFmtId="179" fontId="110" fillId="70" borderId="51" xfId="0" applyNumberFormat="1" applyFont="1" applyFill="1" applyBorder="1"/>
    <xf numFmtId="0" fontId="138" fillId="82" borderId="16" xfId="0" applyFont="1" applyFill="1" applyBorder="1"/>
    <xf numFmtId="0" fontId="138" fillId="82" borderId="58" xfId="0" applyFont="1" applyFill="1" applyBorder="1"/>
    <xf numFmtId="0" fontId="19" fillId="0" borderId="0" xfId="1833" applyFont="1" applyAlignment="1"/>
    <xf numFmtId="0" fontId="103" fillId="0" borderId="0" xfId="0" applyFont="1"/>
    <xf numFmtId="0" fontId="139" fillId="0" borderId="0" xfId="0" applyFont="1" applyAlignment="1">
      <alignment horizontal="center" vertical="center" wrapText="1"/>
    </xf>
    <xf numFmtId="0" fontId="140" fillId="0" borderId="0" xfId="0" applyFont="1"/>
    <xf numFmtId="0" fontId="19" fillId="0" borderId="0" xfId="1833" applyFont="1" applyAlignment="1">
      <alignment horizontal="center"/>
    </xf>
    <xf numFmtId="0" fontId="18" fillId="0" borderId="0" xfId="1833" applyFont="1"/>
    <xf numFmtId="179" fontId="140" fillId="0" borderId="0" xfId="1560" applyNumberFormat="1" applyFont="1" applyFill="1"/>
    <xf numFmtId="0" fontId="140" fillId="0" borderId="0" xfId="0" applyFont="1" applyFill="1"/>
    <xf numFmtId="179" fontId="140" fillId="0" borderId="0" xfId="1560" applyNumberFormat="1" applyFont="1"/>
    <xf numFmtId="0" fontId="140" fillId="0" borderId="0" xfId="0" applyFont="1" applyAlignment="1"/>
    <xf numFmtId="0" fontId="140" fillId="0" borderId="0" xfId="0" quotePrefix="1" applyFont="1" applyAlignment="1"/>
    <xf numFmtId="0" fontId="140" fillId="0" borderId="0" xfId="0" applyFont="1" applyFill="1" applyAlignment="1"/>
    <xf numFmtId="179" fontId="140" fillId="0" borderId="0" xfId="0" applyNumberFormat="1" applyFont="1"/>
    <xf numFmtId="0" fontId="139" fillId="0" borderId="0" xfId="0" applyFont="1" applyAlignment="1">
      <alignment horizontal="center" vertical="center"/>
    </xf>
    <xf numFmtId="0" fontId="142" fillId="0" borderId="0" xfId="0" applyFont="1"/>
    <xf numFmtId="0" fontId="19" fillId="70" borderId="44" xfId="1833" applyFont="1" applyFill="1" applyBorder="1"/>
    <xf numFmtId="0" fontId="18" fillId="70" borderId="52" xfId="1833" applyFont="1" applyFill="1" applyBorder="1"/>
    <xf numFmtId="0" fontId="140" fillId="70" borderId="52" xfId="0" applyFont="1" applyFill="1" applyBorder="1"/>
    <xf numFmtId="0" fontId="140" fillId="70" borderId="45" xfId="0" applyFont="1" applyFill="1" applyBorder="1"/>
    <xf numFmtId="0" fontId="103" fillId="70" borderId="46" xfId="0" applyFont="1" applyFill="1" applyBorder="1" applyAlignment="1">
      <alignment horizontal="center" wrapText="1"/>
    </xf>
    <xf numFmtId="0" fontId="103" fillId="70" borderId="0" xfId="0" applyFont="1" applyFill="1" applyBorder="1" applyAlignment="1">
      <alignment horizontal="center"/>
    </xf>
    <xf numFmtId="0" fontId="103" fillId="70" borderId="47" xfId="0" applyFont="1" applyFill="1" applyBorder="1" applyAlignment="1">
      <alignment horizontal="center"/>
    </xf>
    <xf numFmtId="0" fontId="103" fillId="70" borderId="46" xfId="0" applyFont="1" applyFill="1" applyBorder="1"/>
    <xf numFmtId="0" fontId="140" fillId="70" borderId="0" xfId="0" applyFont="1" applyFill="1" applyBorder="1"/>
    <xf numFmtId="0" fontId="140" fillId="70" borderId="47" xfId="0" applyFont="1" applyFill="1" applyBorder="1"/>
    <xf numFmtId="0" fontId="140" fillId="70" borderId="46" xfId="0" applyFont="1" applyFill="1" applyBorder="1" applyAlignment="1">
      <alignment horizontal="left"/>
    </xf>
    <xf numFmtId="179" fontId="140" fillId="70" borderId="0" xfId="1560" applyNumberFormat="1" applyFont="1" applyFill="1" applyBorder="1"/>
    <xf numFmtId="179" fontId="140" fillId="70" borderId="47" xfId="1560" applyNumberFormat="1" applyFont="1" applyFill="1" applyBorder="1"/>
    <xf numFmtId="179" fontId="140" fillId="70" borderId="0" xfId="0" applyNumberFormat="1" applyFont="1" applyFill="1" applyBorder="1"/>
    <xf numFmtId="179" fontId="140" fillId="70" borderId="47" xfId="0" applyNumberFormat="1" applyFont="1" applyFill="1" applyBorder="1"/>
    <xf numFmtId="0" fontId="140" fillId="70" borderId="46" xfId="0" applyFont="1" applyFill="1" applyBorder="1" applyAlignment="1">
      <alignment horizontal="left" indent="2"/>
    </xf>
    <xf numFmtId="179" fontId="18" fillId="70" borderId="0" xfId="1560" applyNumberFormat="1" applyFont="1" applyFill="1" applyBorder="1"/>
    <xf numFmtId="179" fontId="103" fillId="70" borderId="0" xfId="0" applyNumberFormat="1" applyFont="1" applyFill="1" applyBorder="1"/>
    <xf numFmtId="0" fontId="140" fillId="70" borderId="46" xfId="0" applyFont="1" applyFill="1" applyBorder="1" applyAlignment="1">
      <alignment horizontal="left" indent="3"/>
    </xf>
    <xf numFmtId="10" fontId="140" fillId="70" borderId="0" xfId="1582" applyNumberFormat="1" applyFont="1" applyFill="1" applyBorder="1"/>
    <xf numFmtId="10" fontId="140" fillId="70" borderId="47" xfId="1582" applyNumberFormat="1" applyFont="1" applyFill="1" applyBorder="1"/>
    <xf numFmtId="179" fontId="103" fillId="70" borderId="47" xfId="0" applyNumberFormat="1" applyFont="1" applyFill="1" applyBorder="1"/>
    <xf numFmtId="0" fontId="103" fillId="70" borderId="46" xfId="0" applyFont="1" applyFill="1" applyBorder="1" applyAlignment="1">
      <alignment horizontal="left"/>
    </xf>
    <xf numFmtId="179" fontId="103" fillId="70" borderId="0" xfId="1560" applyNumberFormat="1" applyFont="1" applyFill="1" applyBorder="1"/>
    <xf numFmtId="179" fontId="103" fillId="70" borderId="47" xfId="1560" applyNumberFormat="1" applyFont="1" applyFill="1" applyBorder="1"/>
    <xf numFmtId="0" fontId="140" fillId="70" borderId="46" xfId="0" applyFont="1" applyFill="1" applyBorder="1"/>
    <xf numFmtId="0" fontId="140" fillId="70" borderId="46" xfId="0" applyFont="1" applyFill="1" applyBorder="1" applyAlignment="1">
      <alignment horizontal="left" indent="6"/>
    </xf>
    <xf numFmtId="0" fontId="103" fillId="70" borderId="48" xfId="0" applyFont="1" applyFill="1" applyBorder="1"/>
    <xf numFmtId="0" fontId="140" fillId="70" borderId="31" xfId="0" applyFont="1" applyFill="1" applyBorder="1"/>
    <xf numFmtId="179" fontId="103" fillId="70" borderId="31" xfId="0" applyNumberFormat="1" applyFont="1" applyFill="1" applyBorder="1"/>
    <xf numFmtId="179" fontId="103" fillId="70" borderId="49" xfId="0" applyNumberFormat="1" applyFont="1" applyFill="1" applyBorder="1"/>
    <xf numFmtId="179" fontId="140" fillId="70" borderId="52" xfId="0" applyNumberFormat="1" applyFont="1" applyFill="1" applyBorder="1"/>
    <xf numFmtId="179" fontId="140" fillId="70" borderId="45" xfId="0" applyNumberFormat="1" applyFont="1" applyFill="1" applyBorder="1"/>
    <xf numFmtId="0" fontId="19" fillId="70" borderId="46" xfId="1833" applyFont="1" applyFill="1" applyBorder="1"/>
    <xf numFmtId="0" fontId="19" fillId="70" borderId="48" xfId="1833" applyFont="1" applyFill="1" applyBorder="1" applyAlignment="1">
      <alignment horizontal="left"/>
    </xf>
    <xf numFmtId="179" fontId="140" fillId="70" borderId="31" xfId="0" applyNumberFormat="1" applyFont="1" applyFill="1" applyBorder="1"/>
    <xf numFmtId="179" fontId="140" fillId="70" borderId="49" xfId="0" applyNumberFormat="1" applyFont="1" applyFill="1" applyBorder="1"/>
    <xf numFmtId="0" fontId="19" fillId="70" borderId="44" xfId="1833" applyFont="1" applyFill="1" applyBorder="1" applyAlignment="1">
      <alignment horizontal="center"/>
    </xf>
    <xf numFmtId="0" fontId="19" fillId="70" borderId="52" xfId="1833" applyFont="1" applyFill="1" applyBorder="1" applyAlignment="1">
      <alignment horizontal="center"/>
    </xf>
    <xf numFmtId="0" fontId="19" fillId="70" borderId="45" xfId="1833" applyFont="1" applyFill="1" applyBorder="1" applyAlignment="1">
      <alignment horizontal="center"/>
    </xf>
    <xf numFmtId="0" fontId="19" fillId="70" borderId="46" xfId="1833" applyFont="1" applyFill="1" applyBorder="1" applyAlignment="1">
      <alignment horizontal="center"/>
    </xf>
    <xf numFmtId="0" fontId="19" fillId="70" borderId="0" xfId="1833" applyFont="1" applyFill="1" applyBorder="1" applyAlignment="1">
      <alignment horizontal="center"/>
    </xf>
    <xf numFmtId="0" fontId="19" fillId="70" borderId="47" xfId="1833" applyFont="1" applyFill="1" applyBorder="1" applyAlignment="1">
      <alignment horizontal="center"/>
    </xf>
    <xf numFmtId="0" fontId="18" fillId="70" borderId="46" xfId="1833" applyFont="1" applyFill="1" applyBorder="1"/>
    <xf numFmtId="0" fontId="18" fillId="70" borderId="0" xfId="1833" applyFont="1" applyFill="1" applyBorder="1"/>
    <xf numFmtId="179" fontId="18" fillId="70" borderId="47" xfId="1560" applyNumberFormat="1" applyFont="1" applyFill="1" applyBorder="1"/>
    <xf numFmtId="0" fontId="140" fillId="70" borderId="48" xfId="0" applyFont="1" applyFill="1" applyBorder="1"/>
    <xf numFmtId="0" fontId="140" fillId="70" borderId="49" xfId="0" applyFont="1" applyFill="1" applyBorder="1"/>
    <xf numFmtId="0" fontId="140" fillId="70" borderId="44" xfId="0" applyFont="1" applyFill="1" applyBorder="1"/>
    <xf numFmtId="0" fontId="18" fillId="70" borderId="0" xfId="1833" applyFont="1" applyFill="1" applyBorder="1" applyAlignment="1">
      <alignment horizontal="left"/>
    </xf>
    <xf numFmtId="179" fontId="18" fillId="70" borderId="0" xfId="1833" applyNumberFormat="1" applyFont="1" applyFill="1" applyBorder="1"/>
    <xf numFmtId="179" fontId="18" fillId="70" borderId="47" xfId="1833" applyNumberFormat="1" applyFont="1" applyFill="1" applyBorder="1"/>
    <xf numFmtId="0" fontId="18" fillId="70" borderId="31" xfId="1833" applyFont="1" applyFill="1" applyBorder="1"/>
    <xf numFmtId="0" fontId="141" fillId="70" borderId="46" xfId="1833" applyFont="1" applyFill="1" applyBorder="1"/>
    <xf numFmtId="0" fontId="141" fillId="70" borderId="0" xfId="1833" applyFont="1" applyFill="1" applyBorder="1"/>
    <xf numFmtId="0" fontId="141" fillId="70" borderId="48" xfId="1833" applyFont="1" applyFill="1" applyBorder="1"/>
    <xf numFmtId="0" fontId="141" fillId="70" borderId="31" xfId="1833" applyFont="1" applyFill="1" applyBorder="1"/>
    <xf numFmtId="0" fontId="18" fillId="70" borderId="57" xfId="1876" applyFont="1" applyFill="1" applyBorder="1"/>
    <xf numFmtId="179" fontId="140" fillId="70" borderId="16" xfId="0" applyNumberFormat="1" applyFont="1" applyFill="1" applyBorder="1"/>
    <xf numFmtId="179" fontId="140" fillId="70" borderId="58" xfId="0" applyNumberFormat="1" applyFont="1" applyFill="1" applyBorder="1"/>
    <xf numFmtId="0" fontId="142" fillId="70" borderId="47" xfId="0" applyFont="1" applyFill="1" applyBorder="1"/>
    <xf numFmtId="0" fontId="142" fillId="70" borderId="49" xfId="0" applyFont="1" applyFill="1" applyBorder="1"/>
    <xf numFmtId="0" fontId="16" fillId="73" borderId="32" xfId="0" applyFont="1" applyFill="1" applyBorder="1" applyAlignment="1">
      <alignment horizontal="right"/>
    </xf>
    <xf numFmtId="0" fontId="16" fillId="73" borderId="0" xfId="0" applyFont="1" applyFill="1" applyBorder="1" applyAlignment="1">
      <alignment horizontal="right"/>
    </xf>
    <xf numFmtId="0" fontId="114" fillId="72" borderId="38" xfId="1279" applyFont="1" applyFill="1" applyBorder="1" applyAlignment="1">
      <alignment horizontal="center"/>
    </xf>
    <xf numFmtId="0" fontId="114" fillId="72" borderId="34" xfId="1279" applyFont="1" applyFill="1" applyBorder="1" applyAlignment="1">
      <alignment horizontal="center"/>
    </xf>
    <xf numFmtId="0" fontId="114" fillId="72" borderId="39" xfId="1279" applyFont="1" applyFill="1" applyBorder="1" applyAlignment="1">
      <alignment horizontal="center"/>
    </xf>
    <xf numFmtId="0" fontId="101" fillId="70" borderId="0" xfId="1561" applyFont="1" applyFill="1" applyBorder="1" applyAlignment="1">
      <alignment horizontal="center"/>
    </xf>
    <xf numFmtId="0" fontId="101" fillId="70" borderId="40" xfId="1561" applyFont="1" applyFill="1" applyBorder="1" applyAlignment="1">
      <alignment horizontal="center"/>
    </xf>
    <xf numFmtId="0" fontId="111" fillId="73" borderId="32" xfId="0" applyFont="1" applyFill="1" applyBorder="1" applyAlignment="1">
      <alignment horizontal="right"/>
    </xf>
    <xf numFmtId="0" fontId="111" fillId="73" borderId="0" xfId="0" applyFont="1" applyFill="1" applyBorder="1" applyAlignment="1">
      <alignment horizontal="right"/>
    </xf>
    <xf numFmtId="0" fontId="16" fillId="73" borderId="32" xfId="0" applyFont="1" applyFill="1" applyBorder="1" applyAlignment="1">
      <alignment horizontal="center" wrapText="1"/>
    </xf>
    <xf numFmtId="0" fontId="16" fillId="73" borderId="0" xfId="0" applyFont="1" applyFill="1" applyBorder="1" applyAlignment="1">
      <alignment horizontal="center" wrapText="1"/>
    </xf>
    <xf numFmtId="0" fontId="16" fillId="73" borderId="34" xfId="0" applyFont="1" applyFill="1" applyBorder="1" applyAlignment="1">
      <alignment horizontal="center"/>
    </xf>
    <xf numFmtId="0" fontId="16" fillId="73" borderId="39" xfId="0" applyFont="1" applyFill="1" applyBorder="1" applyAlignment="1">
      <alignment horizontal="center"/>
    </xf>
    <xf numFmtId="0" fontId="16" fillId="73" borderId="32" xfId="0" applyFont="1" applyFill="1" applyBorder="1" applyAlignment="1">
      <alignment horizontal="right" wrapText="1"/>
    </xf>
    <xf numFmtId="0" fontId="16" fillId="73" borderId="0" xfId="0" applyFont="1" applyFill="1" applyBorder="1" applyAlignment="1">
      <alignment horizontal="right" wrapText="1"/>
    </xf>
    <xf numFmtId="0" fontId="16" fillId="73" borderId="0" xfId="0" applyFont="1" applyFill="1" applyBorder="1" applyAlignment="1">
      <alignment horizontal="left" vertical="top" wrapText="1"/>
    </xf>
    <xf numFmtId="0" fontId="1" fillId="73" borderId="0" xfId="0" applyFont="1" applyFill="1" applyBorder="1" applyAlignment="1">
      <alignment horizontal="left" vertical="top" wrapText="1"/>
    </xf>
    <xf numFmtId="0" fontId="16" fillId="73" borderId="41" xfId="0" applyFont="1" applyFill="1" applyBorder="1" applyAlignment="1">
      <alignment horizontal="right"/>
    </xf>
    <xf numFmtId="0" fontId="16" fillId="73" borderId="35" xfId="0" applyFont="1" applyFill="1" applyBorder="1" applyAlignment="1">
      <alignment horizontal="right"/>
    </xf>
    <xf numFmtId="0" fontId="18" fillId="73" borderId="0" xfId="1574" applyFont="1" applyFill="1" applyBorder="1" applyAlignment="1">
      <alignment horizontal="left" indent="2"/>
    </xf>
    <xf numFmtId="0" fontId="123" fillId="73" borderId="0" xfId="0" applyFont="1" applyFill="1" applyBorder="1" applyAlignment="1">
      <alignment horizontal="center"/>
    </xf>
    <xf numFmtId="0" fontId="116" fillId="70" borderId="34" xfId="0" applyFont="1" applyFill="1" applyBorder="1" applyAlignment="1">
      <alignment horizontal="center" wrapText="1"/>
    </xf>
    <xf numFmtId="0" fontId="116" fillId="70" borderId="0" xfId="0" applyFont="1" applyFill="1" applyBorder="1" applyAlignment="1">
      <alignment horizontal="center" wrapText="1"/>
    </xf>
    <xf numFmtId="0" fontId="118" fillId="70" borderId="0" xfId="0" applyFont="1" applyFill="1" applyAlignment="1">
      <alignment horizontal="left"/>
    </xf>
    <xf numFmtId="0" fontId="99" fillId="76" borderId="57" xfId="1279" applyFont="1" applyFill="1" applyBorder="1" applyAlignment="1">
      <alignment horizontal="center"/>
    </xf>
    <xf numFmtId="0" fontId="99" fillId="76" borderId="16" xfId="1279" applyFont="1" applyFill="1" applyBorder="1" applyAlignment="1">
      <alignment horizontal="center"/>
    </xf>
    <xf numFmtId="0" fontId="99" fillId="76" borderId="58" xfId="1279" applyFont="1" applyFill="1" applyBorder="1" applyAlignment="1">
      <alignment horizontal="center"/>
    </xf>
    <xf numFmtId="0" fontId="133" fillId="82" borderId="57" xfId="0" applyFont="1" applyFill="1" applyBorder="1" applyAlignment="1">
      <alignment horizontal="center" vertical="center"/>
    </xf>
    <xf numFmtId="0" fontId="133" fillId="82" borderId="58" xfId="0" applyFont="1" applyFill="1" applyBorder="1" applyAlignment="1">
      <alignment horizontal="center" vertical="center"/>
    </xf>
    <xf numFmtId="0" fontId="133" fillId="70" borderId="46" xfId="0" applyFont="1" applyFill="1" applyBorder="1" applyAlignment="1">
      <alignment horizontal="center" vertical="center"/>
    </xf>
    <xf numFmtId="0" fontId="133" fillId="70" borderId="47" xfId="0" applyFont="1" applyFill="1" applyBorder="1" applyAlignment="1">
      <alignment horizontal="center" vertical="center"/>
    </xf>
    <xf numFmtId="0" fontId="118" fillId="82" borderId="57" xfId="0" applyFont="1" applyFill="1" applyBorder="1" applyAlignment="1">
      <alignment horizontal="center" wrapText="1"/>
    </xf>
    <xf numFmtId="0" fontId="118" fillId="82" borderId="16" xfId="0" applyFont="1" applyFill="1" applyBorder="1" applyAlignment="1">
      <alignment horizontal="center" wrapText="1"/>
    </xf>
    <xf numFmtId="0" fontId="118" fillId="82" borderId="48" xfId="0" applyFont="1" applyFill="1" applyBorder="1" applyAlignment="1">
      <alignment horizontal="center" wrapText="1"/>
    </xf>
    <xf numFmtId="0" fontId="118" fillId="82" borderId="31" xfId="0" applyFont="1" applyFill="1" applyBorder="1" applyAlignment="1">
      <alignment horizontal="center" wrapText="1"/>
    </xf>
    <xf numFmtId="0" fontId="18" fillId="70" borderId="0" xfId="1574" applyFont="1" applyFill="1" applyBorder="1" applyAlignment="1">
      <alignment horizontal="left" indent="2"/>
    </xf>
    <xf numFmtId="0" fontId="119" fillId="76" borderId="0" xfId="0" applyFont="1" applyFill="1" applyBorder="1" applyAlignment="1">
      <alignment horizontal="left"/>
    </xf>
    <xf numFmtId="0" fontId="111" fillId="76" borderId="40" xfId="0" applyFont="1" applyFill="1" applyBorder="1" applyAlignment="1">
      <alignment horizontal="center" vertical="center"/>
    </xf>
    <xf numFmtId="0" fontId="111" fillId="76" borderId="32" xfId="0" applyFont="1" applyFill="1" applyBorder="1" applyAlignment="1">
      <alignment horizontal="center" vertical="center" wrapText="1"/>
    </xf>
    <xf numFmtId="0" fontId="111" fillId="76" borderId="32" xfId="0" applyFont="1" applyFill="1" applyBorder="1" applyAlignment="1">
      <alignment horizontal="center" vertical="center"/>
    </xf>
    <xf numFmtId="0" fontId="111" fillId="76" borderId="0" xfId="0" applyFont="1" applyFill="1" applyBorder="1" applyAlignment="1">
      <alignment horizontal="center" vertical="center"/>
    </xf>
    <xf numFmtId="0" fontId="111" fillId="76" borderId="0" xfId="0" applyFont="1" applyFill="1" applyBorder="1" applyAlignment="1">
      <alignment horizontal="center" vertical="center" wrapText="1"/>
    </xf>
    <xf numFmtId="0" fontId="111" fillId="76" borderId="47" xfId="0" applyFont="1" applyFill="1" applyBorder="1" applyAlignment="1">
      <alignment horizontal="center" vertical="center" wrapText="1"/>
    </xf>
    <xf numFmtId="0" fontId="111" fillId="76" borderId="47" xfId="0" applyFont="1" applyFill="1" applyBorder="1" applyAlignment="1">
      <alignment horizontal="center" vertical="center"/>
    </xf>
    <xf numFmtId="0" fontId="104" fillId="70" borderId="46" xfId="0" applyFont="1" applyFill="1" applyBorder="1" applyAlignment="1">
      <alignment horizontal="center"/>
    </xf>
    <xf numFmtId="0" fontId="104" fillId="70" borderId="0" xfId="0" applyFont="1" applyFill="1" applyBorder="1" applyAlignment="1">
      <alignment horizontal="center"/>
    </xf>
    <xf numFmtId="0" fontId="16" fillId="82" borderId="57" xfId="0" applyFont="1" applyFill="1" applyBorder="1" applyAlignment="1">
      <alignment horizontal="center"/>
    </xf>
    <xf numFmtId="0" fontId="16" fillId="82" borderId="16" xfId="0" applyFont="1" applyFill="1" applyBorder="1" applyAlignment="1">
      <alignment horizontal="center"/>
    </xf>
    <xf numFmtId="0" fontId="16" fillId="76" borderId="57" xfId="0" applyFont="1" applyFill="1" applyBorder="1" applyAlignment="1">
      <alignment horizontal="center"/>
    </xf>
    <xf numFmtId="0" fontId="16" fillId="76" borderId="16" xfId="0" applyFont="1" applyFill="1" applyBorder="1" applyAlignment="1">
      <alignment horizontal="center"/>
    </xf>
    <xf numFmtId="0" fontId="16" fillId="76" borderId="58" xfId="0" applyFont="1" applyFill="1" applyBorder="1" applyAlignment="1">
      <alignment horizontal="center"/>
    </xf>
    <xf numFmtId="0" fontId="104" fillId="70" borderId="44" xfId="0" applyFont="1" applyFill="1" applyBorder="1" applyAlignment="1">
      <alignment horizontal="center"/>
    </xf>
    <xf numFmtId="0" fontId="104" fillId="70" borderId="52" xfId="0" applyFont="1" applyFill="1" applyBorder="1" applyAlignment="1">
      <alignment horizontal="center"/>
    </xf>
    <xf numFmtId="0" fontId="132" fillId="76" borderId="16" xfId="0" applyFont="1" applyFill="1" applyBorder="1" applyAlignment="1">
      <alignment horizontal="center"/>
    </xf>
    <xf numFmtId="0" fontId="132" fillId="76" borderId="58" xfId="0" applyFont="1" applyFill="1" applyBorder="1" applyAlignment="1">
      <alignment horizontal="center"/>
    </xf>
    <xf numFmtId="0" fontId="102" fillId="76" borderId="57" xfId="1279" applyFont="1" applyFill="1" applyBorder="1" applyAlignment="1">
      <alignment horizontal="center"/>
    </xf>
    <xf numFmtId="0" fontId="102" fillId="76" borderId="16" xfId="1279" applyFont="1" applyFill="1" applyBorder="1" applyAlignment="1">
      <alignment horizontal="center"/>
    </xf>
    <xf numFmtId="0" fontId="102" fillId="76" borderId="58" xfId="1279" applyFont="1" applyFill="1" applyBorder="1" applyAlignment="1">
      <alignment horizontal="center"/>
    </xf>
    <xf numFmtId="0" fontId="16" fillId="70" borderId="31" xfId="0" applyFont="1" applyFill="1" applyBorder="1" applyAlignment="1">
      <alignment horizontal="center"/>
    </xf>
    <xf numFmtId="0" fontId="16" fillId="70" borderId="49" xfId="0" applyFont="1" applyFill="1" applyBorder="1" applyAlignment="1">
      <alignment horizontal="center"/>
    </xf>
    <xf numFmtId="0" fontId="16" fillId="82" borderId="58" xfId="0" applyFont="1" applyFill="1" applyBorder="1" applyAlignment="1">
      <alignment horizontal="center"/>
    </xf>
    <xf numFmtId="0" fontId="115" fillId="76" borderId="57" xfId="1279" applyFont="1" applyFill="1" applyBorder="1" applyAlignment="1">
      <alignment horizontal="center"/>
    </xf>
    <xf numFmtId="0" fontId="115" fillId="76" borderId="16" xfId="1279" applyFont="1" applyFill="1" applyBorder="1" applyAlignment="1">
      <alignment horizontal="center"/>
    </xf>
    <xf numFmtId="0" fontId="115" fillId="76" borderId="58" xfId="1279" applyFont="1" applyFill="1" applyBorder="1" applyAlignment="1">
      <alignment horizontal="center"/>
    </xf>
    <xf numFmtId="0" fontId="99" fillId="76" borderId="38" xfId="1279" applyFont="1" applyFill="1" applyBorder="1" applyAlignment="1">
      <alignment horizontal="center"/>
    </xf>
    <xf numFmtId="0" fontId="99" fillId="76" borderId="34" xfId="1279" applyFont="1" applyFill="1" applyBorder="1" applyAlignment="1">
      <alignment horizontal="center"/>
    </xf>
    <xf numFmtId="0" fontId="99" fillId="76" borderId="39" xfId="1279" applyFont="1" applyFill="1" applyBorder="1" applyAlignment="1">
      <alignment horizontal="center"/>
    </xf>
    <xf numFmtId="0" fontId="19" fillId="76" borderId="48" xfId="1833" applyFont="1" applyFill="1" applyBorder="1" applyAlignment="1">
      <alignment horizontal="center"/>
    </xf>
    <xf numFmtId="0" fontId="19" fillId="76" borderId="31" xfId="1833" applyFont="1" applyFill="1" applyBorder="1" applyAlignment="1">
      <alignment horizontal="center"/>
    </xf>
    <xf numFmtId="0" fontId="19" fillId="76" borderId="49" xfId="1833" applyFont="1" applyFill="1" applyBorder="1" applyAlignment="1">
      <alignment horizontal="center"/>
    </xf>
    <xf numFmtId="0" fontId="19" fillId="76" borderId="44" xfId="1833" applyFont="1" applyFill="1" applyBorder="1" applyAlignment="1">
      <alignment horizontal="center"/>
    </xf>
    <xf numFmtId="0" fontId="19" fillId="76" borderId="52" xfId="1833" applyFont="1" applyFill="1" applyBorder="1" applyAlignment="1">
      <alignment horizontal="center"/>
    </xf>
    <xf numFmtId="0" fontId="19" fillId="76" borderId="45" xfId="1833" applyFont="1" applyFill="1" applyBorder="1" applyAlignment="1">
      <alignment horizontal="center"/>
    </xf>
    <xf numFmtId="0" fontId="19" fillId="76" borderId="46" xfId="1833" applyFont="1" applyFill="1" applyBorder="1" applyAlignment="1">
      <alignment horizontal="center"/>
    </xf>
    <xf numFmtId="0" fontId="19" fillId="76" borderId="0" xfId="1833" applyFont="1" applyFill="1" applyBorder="1" applyAlignment="1">
      <alignment horizontal="center"/>
    </xf>
    <xf numFmtId="0" fontId="19" fillId="76" borderId="47" xfId="1833" applyFont="1" applyFill="1" applyBorder="1" applyAlignment="1">
      <alignment horizontal="center"/>
    </xf>
    <xf numFmtId="179" fontId="140" fillId="0" borderId="0" xfId="1560" applyNumberFormat="1" applyFont="1" applyAlignment="1">
      <alignment horizontal="left" vertical="center" wrapText="1"/>
    </xf>
  </cellXfs>
  <cellStyles count="2405">
    <cellStyle name="_%(SignOnly)" xfId="2"/>
    <cellStyle name="_%(SignSpaceOnly)" xfId="3"/>
    <cellStyle name="_Chelan Debt Forecast 12.19.05" xfId="4"/>
    <cellStyle name="_Chelan Debt Forecast 12.19.05 2" xfId="1655"/>
    <cellStyle name="_Comma" xfId="5"/>
    <cellStyle name="_Costs not in AURORA 06GRC" xfId="6"/>
    <cellStyle name="_Costs not in AURORA 06GRC 2" xfId="1656"/>
    <cellStyle name="_Costs not in KWI3000 '06Budget" xfId="7"/>
    <cellStyle name="_Costs not in KWI3000 '06Budget 2" xfId="1657"/>
    <cellStyle name="_Currency" xfId="8"/>
    <cellStyle name="_CurrencySpace" xfId="9"/>
    <cellStyle name="_Euro" xfId="10"/>
    <cellStyle name="_Fuel Prices 4-14" xfId="11"/>
    <cellStyle name="_Fuel Prices 4-14 2" xfId="1658"/>
    <cellStyle name="_Heading" xfId="12"/>
    <cellStyle name="_Highlight" xfId="13"/>
    <cellStyle name="_Multiple" xfId="14"/>
    <cellStyle name="_MultipleSpace" xfId="15"/>
    <cellStyle name="_Power Cost Value Copy 11.30.05 gas 1.09.06 AURORA at 1.10.06" xfId="16"/>
    <cellStyle name="_Power Cost Value Copy 11.30.05 gas 1.09.06 AURORA at 1.10.06 2" xfId="1659"/>
    <cellStyle name="_Recon to Darrin's 5.11.05 proforma" xfId="17"/>
    <cellStyle name="_Recon to Darrin's 5.11.05 proforma 2" xfId="1660"/>
    <cellStyle name="_SubHeading" xfId="18"/>
    <cellStyle name="_Table" xfId="19"/>
    <cellStyle name="_Table_QC" xfId="20"/>
    <cellStyle name="_TableHead" xfId="21"/>
    <cellStyle name="_TableHead_QC" xfId="22"/>
    <cellStyle name="_TableRowHead" xfId="23"/>
    <cellStyle name="_TableSuperHead" xfId="24"/>
    <cellStyle name="_Value Copy 11 30 05 gas 12 09 05 AURORA at 12 14 05" xfId="25"/>
    <cellStyle name="_Value Copy 11 30 05 gas 12 09 05 AURORA at 12 14 05 2" xfId="1661"/>
    <cellStyle name="20% - Accent1 2" xfId="26"/>
    <cellStyle name="20% - Accent1 2 2" xfId="27"/>
    <cellStyle name="20% - Accent1 2 2 2" xfId="28"/>
    <cellStyle name="20% - Accent1 2 2 3" xfId="29"/>
    <cellStyle name="20% - Accent1 2 2 4" xfId="30"/>
    <cellStyle name="20% - Accent1 2 3" xfId="31"/>
    <cellStyle name="20% - Accent1 2 4" xfId="32"/>
    <cellStyle name="20% - Accent1 2 5" xfId="33"/>
    <cellStyle name="20% - Accent1 2 6" xfId="34"/>
    <cellStyle name="20% - Accent1 2_QC Sheet" xfId="35"/>
    <cellStyle name="20% - Accent1 3" xfId="36"/>
    <cellStyle name="20% - Accent1 4" xfId="1280"/>
    <cellStyle name="20% - Accent2 2" xfId="37"/>
    <cellStyle name="20% - Accent2 2 2" xfId="38"/>
    <cellStyle name="20% - Accent2 2 2 2" xfId="39"/>
    <cellStyle name="20% - Accent2 2 2 3" xfId="40"/>
    <cellStyle name="20% - Accent2 2 2 4" xfId="41"/>
    <cellStyle name="20% - Accent2 2 3" xfId="42"/>
    <cellStyle name="20% - Accent2 2 4" xfId="43"/>
    <cellStyle name="20% - Accent2 2 5" xfId="44"/>
    <cellStyle name="20% - Accent2 2 6" xfId="45"/>
    <cellStyle name="20% - Accent2 2_QC Sheet" xfId="46"/>
    <cellStyle name="20% - Accent2 3" xfId="47"/>
    <cellStyle name="20% - Accent2 4" xfId="1281"/>
    <cellStyle name="20% - Accent3 2" xfId="48"/>
    <cellStyle name="20% - Accent3 2 2" xfId="49"/>
    <cellStyle name="20% - Accent3 2 2 2" xfId="50"/>
    <cellStyle name="20% - Accent3 2 2 3" xfId="51"/>
    <cellStyle name="20% - Accent3 2 2 4" xfId="52"/>
    <cellStyle name="20% - Accent3 2 3" xfId="53"/>
    <cellStyle name="20% - Accent3 2 4" xfId="54"/>
    <cellStyle name="20% - Accent3 2 5" xfId="55"/>
    <cellStyle name="20% - Accent3 2 6" xfId="56"/>
    <cellStyle name="20% - Accent3 2_QC Sheet" xfId="57"/>
    <cellStyle name="20% - Accent3 3" xfId="58"/>
    <cellStyle name="20% - Accent3 4" xfId="1282"/>
    <cellStyle name="20% - Accent4 2" xfId="59"/>
    <cellStyle name="20% - Accent4 2 2" xfId="60"/>
    <cellStyle name="20% - Accent4 2 2 2" xfId="61"/>
    <cellStyle name="20% - Accent4 2 2 3" xfId="62"/>
    <cellStyle name="20% - Accent4 2 2 4" xfId="63"/>
    <cellStyle name="20% - Accent4 2 3" xfId="64"/>
    <cellStyle name="20% - Accent4 2 4" xfId="65"/>
    <cellStyle name="20% - Accent4 2 5" xfId="66"/>
    <cellStyle name="20% - Accent4 2 6" xfId="67"/>
    <cellStyle name="20% - Accent4 2_QC Sheet" xfId="68"/>
    <cellStyle name="20% - Accent4 3" xfId="69"/>
    <cellStyle name="20% - Accent4 4" xfId="1283"/>
    <cellStyle name="20% - Accent5 2" xfId="70"/>
    <cellStyle name="20% - Accent5 2 2" xfId="71"/>
    <cellStyle name="20% - Accent5 2 2 2" xfId="72"/>
    <cellStyle name="20% - Accent5 2 2 3" xfId="73"/>
    <cellStyle name="20% - Accent5 2 2 4" xfId="74"/>
    <cellStyle name="20% - Accent5 2 3" xfId="75"/>
    <cellStyle name="20% - Accent5 2 4" xfId="76"/>
    <cellStyle name="20% - Accent5 2 5" xfId="77"/>
    <cellStyle name="20% - Accent5 2 6" xfId="78"/>
    <cellStyle name="20% - Accent5 2_QC Sheet" xfId="79"/>
    <cellStyle name="20% - Accent5 3" xfId="80"/>
    <cellStyle name="20% - Accent5 4" xfId="1284"/>
    <cellStyle name="20% - Accent6 2" xfId="81"/>
    <cellStyle name="20% - Accent6 2 2" xfId="82"/>
    <cellStyle name="20% - Accent6 2 2 2" xfId="83"/>
    <cellStyle name="20% - Accent6 2 2 3" xfId="84"/>
    <cellStyle name="20% - Accent6 2 2 4" xfId="85"/>
    <cellStyle name="20% - Accent6 2 3" xfId="86"/>
    <cellStyle name="20% - Accent6 2 4" xfId="87"/>
    <cellStyle name="20% - Accent6 2 5" xfId="88"/>
    <cellStyle name="20% - Accent6 2 6" xfId="89"/>
    <cellStyle name="20% - Accent6 2_QC Sheet" xfId="90"/>
    <cellStyle name="20% - Accent6 3" xfId="91"/>
    <cellStyle name="20% - Accent6 4" xfId="1285"/>
    <cellStyle name="40% - Accent1 2" xfId="92"/>
    <cellStyle name="40% - Accent1 2 2" xfId="93"/>
    <cellStyle name="40% - Accent1 2 2 2" xfId="94"/>
    <cellStyle name="40% - Accent1 2 2 3" xfId="95"/>
    <cellStyle name="40% - Accent1 2 2 4" xfId="96"/>
    <cellStyle name="40% - Accent1 2 3" xfId="97"/>
    <cellStyle name="40% - Accent1 2 4" xfId="98"/>
    <cellStyle name="40% - Accent1 2 5" xfId="99"/>
    <cellStyle name="40% - Accent1 2 6" xfId="100"/>
    <cellStyle name="40% - Accent1 2_QC Sheet" xfId="101"/>
    <cellStyle name="40% - Accent1 3" xfId="102"/>
    <cellStyle name="40% - Accent1 4" xfId="1286"/>
    <cellStyle name="40% - Accent2 2" xfId="103"/>
    <cellStyle name="40% - Accent2 2 2" xfId="104"/>
    <cellStyle name="40% - Accent2 2 2 2" xfId="105"/>
    <cellStyle name="40% - Accent2 2 2 3" xfId="106"/>
    <cellStyle name="40% - Accent2 2 2 4" xfId="107"/>
    <cellStyle name="40% - Accent2 2 3" xfId="108"/>
    <cellStyle name="40% - Accent2 2 4" xfId="109"/>
    <cellStyle name="40% - Accent2 2 5" xfId="110"/>
    <cellStyle name="40% - Accent2 2 6" xfId="111"/>
    <cellStyle name="40% - Accent2 2_QC Sheet" xfId="112"/>
    <cellStyle name="40% - Accent2 3" xfId="113"/>
    <cellStyle name="40% - Accent2 4" xfId="1287"/>
    <cellStyle name="40% - Accent3 2" xfId="114"/>
    <cellStyle name="40% - Accent3 2 2" xfId="115"/>
    <cellStyle name="40% - Accent3 2 2 2" xfId="116"/>
    <cellStyle name="40% - Accent3 2 2 3" xfId="117"/>
    <cellStyle name="40% - Accent3 2 2 4" xfId="118"/>
    <cellStyle name="40% - Accent3 2 3" xfId="119"/>
    <cellStyle name="40% - Accent3 2 4" xfId="120"/>
    <cellStyle name="40% - Accent3 2 5" xfId="121"/>
    <cellStyle name="40% - Accent3 2 6" xfId="122"/>
    <cellStyle name="40% - Accent3 2_QC Sheet" xfId="123"/>
    <cellStyle name="40% - Accent3 3" xfId="124"/>
    <cellStyle name="40% - Accent3 4" xfId="1288"/>
    <cellStyle name="40% - Accent4 2" xfId="125"/>
    <cellStyle name="40% - Accent4 2 2" xfId="126"/>
    <cellStyle name="40% - Accent4 2 2 2" xfId="127"/>
    <cellStyle name="40% - Accent4 2 2 3" xfId="128"/>
    <cellStyle name="40% - Accent4 2 2 4" xfId="129"/>
    <cellStyle name="40% - Accent4 2 3" xfId="130"/>
    <cellStyle name="40% - Accent4 2 4" xfId="131"/>
    <cellStyle name="40% - Accent4 2 5" xfId="132"/>
    <cellStyle name="40% - Accent4 2 6" xfId="133"/>
    <cellStyle name="40% - Accent4 2_QC Sheet" xfId="134"/>
    <cellStyle name="40% - Accent4 3" xfId="135"/>
    <cellStyle name="40% - Accent4 4" xfId="1289"/>
    <cellStyle name="40% - Accent5 2" xfId="136"/>
    <cellStyle name="40% - Accent5 2 2" xfId="137"/>
    <cellStyle name="40% - Accent5 2 2 2" xfId="138"/>
    <cellStyle name="40% - Accent5 2 2 3" xfId="139"/>
    <cellStyle name="40% - Accent5 2 2 4" xfId="140"/>
    <cellStyle name="40% - Accent5 2 3" xfId="141"/>
    <cellStyle name="40% - Accent5 2 4" xfId="142"/>
    <cellStyle name="40% - Accent5 2 5" xfId="143"/>
    <cellStyle name="40% - Accent5 2 6" xfId="144"/>
    <cellStyle name="40% - Accent5 2_QC Sheet" xfId="145"/>
    <cellStyle name="40% - Accent5 3" xfId="146"/>
    <cellStyle name="40% - Accent5 4" xfId="1290"/>
    <cellStyle name="40% - Accent6 2" xfId="147"/>
    <cellStyle name="40% - Accent6 2 2" xfId="148"/>
    <cellStyle name="40% - Accent6 2 2 2" xfId="149"/>
    <cellStyle name="40% - Accent6 2 2 3" xfId="150"/>
    <cellStyle name="40% - Accent6 2 2 4" xfId="151"/>
    <cellStyle name="40% - Accent6 2 3" xfId="152"/>
    <cellStyle name="40% - Accent6 2 4" xfId="153"/>
    <cellStyle name="40% - Accent6 2 5" xfId="154"/>
    <cellStyle name="40% - Accent6 2 6" xfId="155"/>
    <cellStyle name="40% - Accent6 2_QC Sheet" xfId="156"/>
    <cellStyle name="40% - Accent6 3" xfId="157"/>
    <cellStyle name="40% - Accent6 4" xfId="1291"/>
    <cellStyle name="60% - Accent1 2" xfId="158"/>
    <cellStyle name="60% - Accent1 2 2" xfId="159"/>
    <cellStyle name="60% - Accent1 2 2 2" xfId="160"/>
    <cellStyle name="60% - Accent1 2 2 3" xfId="161"/>
    <cellStyle name="60% - Accent1 2 2 4" xfId="162"/>
    <cellStyle name="60% - Accent1 2 3" xfId="163"/>
    <cellStyle name="60% - Accent1 2 4" xfId="164"/>
    <cellStyle name="60% - Accent1 2 5" xfId="165"/>
    <cellStyle name="60% - Accent1 2_QC Sheet" xfId="166"/>
    <cellStyle name="60% - Accent1 3" xfId="167"/>
    <cellStyle name="60% - Accent1 4" xfId="1292"/>
    <cellStyle name="60% - Accent2 2" xfId="168"/>
    <cellStyle name="60% - Accent2 2 2" xfId="169"/>
    <cellStyle name="60% - Accent2 2 2 2" xfId="170"/>
    <cellStyle name="60% - Accent2 2 2 3" xfId="171"/>
    <cellStyle name="60% - Accent2 2 2 4" xfId="172"/>
    <cellStyle name="60% - Accent2 2 3" xfId="173"/>
    <cellStyle name="60% - Accent2 2 4" xfId="174"/>
    <cellStyle name="60% - Accent2 2 5" xfId="175"/>
    <cellStyle name="60% - Accent2 2_QC Sheet" xfId="176"/>
    <cellStyle name="60% - Accent2 3" xfId="177"/>
    <cellStyle name="60% - Accent2 4" xfId="1293"/>
    <cellStyle name="60% - Accent3 2" xfId="178"/>
    <cellStyle name="60% - Accent3 2 2" xfId="179"/>
    <cellStyle name="60% - Accent3 2 2 2" xfId="180"/>
    <cellStyle name="60% - Accent3 2 2 3" xfId="181"/>
    <cellStyle name="60% - Accent3 2 2 4" xfId="182"/>
    <cellStyle name="60% - Accent3 2 3" xfId="183"/>
    <cellStyle name="60% - Accent3 2 4" xfId="184"/>
    <cellStyle name="60% - Accent3 2 5" xfId="185"/>
    <cellStyle name="60% - Accent3 2_QC Sheet" xfId="186"/>
    <cellStyle name="60% - Accent3 3" xfId="187"/>
    <cellStyle name="60% - Accent3 4" xfId="1294"/>
    <cellStyle name="60% - Accent4 2" xfId="188"/>
    <cellStyle name="60% - Accent4 2 2" xfId="189"/>
    <cellStyle name="60% - Accent4 2 2 2" xfId="190"/>
    <cellStyle name="60% - Accent4 2 2 3" xfId="191"/>
    <cellStyle name="60% - Accent4 2 2 4" xfId="192"/>
    <cellStyle name="60% - Accent4 2 3" xfId="193"/>
    <cellStyle name="60% - Accent4 2 4" xfId="194"/>
    <cellStyle name="60% - Accent4 2 5" xfId="195"/>
    <cellStyle name="60% - Accent4 2_QC Sheet" xfId="196"/>
    <cellStyle name="60% - Accent4 3" xfId="197"/>
    <cellStyle name="60% - Accent4 4" xfId="1295"/>
    <cellStyle name="60% - Accent5 2" xfId="198"/>
    <cellStyle name="60% - Accent5 2 2" xfId="199"/>
    <cellStyle name="60% - Accent5 2 2 2" xfId="200"/>
    <cellStyle name="60% - Accent5 2 2 3" xfId="201"/>
    <cellStyle name="60% - Accent5 2 2 4" xfId="202"/>
    <cellStyle name="60% - Accent5 2 3" xfId="203"/>
    <cellStyle name="60% - Accent5 2 4" xfId="204"/>
    <cellStyle name="60% - Accent5 2 5" xfId="205"/>
    <cellStyle name="60% - Accent5 2_QC Sheet" xfId="206"/>
    <cellStyle name="60% - Accent5 3" xfId="207"/>
    <cellStyle name="60% - Accent5 4" xfId="1296"/>
    <cellStyle name="60% - Accent6 2" xfId="208"/>
    <cellStyle name="60% - Accent6 2 2" xfId="209"/>
    <cellStyle name="60% - Accent6 2 2 2" xfId="210"/>
    <cellStyle name="60% - Accent6 2 2 3" xfId="211"/>
    <cellStyle name="60% - Accent6 2 2 4" xfId="212"/>
    <cellStyle name="60% - Accent6 2 3" xfId="213"/>
    <cellStyle name="60% - Accent6 2 4" xfId="214"/>
    <cellStyle name="60% - Accent6 2 5" xfId="215"/>
    <cellStyle name="60% - Accent6 2_QC Sheet" xfId="216"/>
    <cellStyle name="60% - Accent6 3" xfId="217"/>
    <cellStyle name="60% - Accent6 4" xfId="1297"/>
    <cellStyle name="Accent1 2" xfId="218"/>
    <cellStyle name="Accent1 2 2" xfId="219"/>
    <cellStyle name="Accent1 2 2 2" xfId="220"/>
    <cellStyle name="Accent1 2 2 3" xfId="221"/>
    <cellStyle name="Accent1 2 2 4" xfId="222"/>
    <cellStyle name="Accent1 2 3" xfId="223"/>
    <cellStyle name="Accent1 2 4" xfId="224"/>
    <cellStyle name="Accent1 2 5" xfId="225"/>
    <cellStyle name="Accent1 2_QC Sheet" xfId="226"/>
    <cellStyle name="Accent1 3" xfId="227"/>
    <cellStyle name="Accent1 4" xfId="1298"/>
    <cellStyle name="Accent2 2" xfId="228"/>
    <cellStyle name="Accent2 2 2" xfId="229"/>
    <cellStyle name="Accent2 2 2 2" xfId="230"/>
    <cellStyle name="Accent2 2 2 3" xfId="231"/>
    <cellStyle name="Accent2 2 2 4" xfId="232"/>
    <cellStyle name="Accent2 2 3" xfId="233"/>
    <cellStyle name="Accent2 2 4" xfId="234"/>
    <cellStyle name="Accent2 2 5" xfId="235"/>
    <cellStyle name="Accent2 2_QC Sheet" xfId="236"/>
    <cellStyle name="Accent2 3" xfId="237"/>
    <cellStyle name="Accent2 4" xfId="1299"/>
    <cellStyle name="Accent3 2" xfId="238"/>
    <cellStyle name="Accent3 2 2" xfId="239"/>
    <cellStyle name="Accent3 2 2 2" xfId="240"/>
    <cellStyle name="Accent3 2 2 3" xfId="241"/>
    <cellStyle name="Accent3 2 2 4" xfId="242"/>
    <cellStyle name="Accent3 2 3" xfId="243"/>
    <cellStyle name="Accent3 2 4" xfId="244"/>
    <cellStyle name="Accent3 2 5" xfId="245"/>
    <cellStyle name="Accent3 2_QC Sheet" xfId="246"/>
    <cellStyle name="Accent3 3" xfId="247"/>
    <cellStyle name="Accent3 4" xfId="1300"/>
    <cellStyle name="Accent4 2" xfId="248"/>
    <cellStyle name="Accent4 2 2" xfId="249"/>
    <cellStyle name="Accent4 2 2 2" xfId="250"/>
    <cellStyle name="Accent4 2 2 3" xfId="251"/>
    <cellStyle name="Accent4 2 2 4" xfId="252"/>
    <cellStyle name="Accent4 2 3" xfId="253"/>
    <cellStyle name="Accent4 2 4" xfId="254"/>
    <cellStyle name="Accent4 2 5" xfId="255"/>
    <cellStyle name="Accent4 2_QC Sheet" xfId="256"/>
    <cellStyle name="Accent4 3" xfId="257"/>
    <cellStyle name="Accent4 4" xfId="1301"/>
    <cellStyle name="Accent5 2" xfId="258"/>
    <cellStyle name="Accent5 2 2" xfId="259"/>
    <cellStyle name="Accent5 2 2 2" xfId="260"/>
    <cellStyle name="Accent5 2 2 3" xfId="261"/>
    <cellStyle name="Accent5 2 2 4" xfId="262"/>
    <cellStyle name="Accent5 2 3" xfId="263"/>
    <cellStyle name="Accent5 2 4" xfId="264"/>
    <cellStyle name="Accent5 2 5" xfId="265"/>
    <cellStyle name="Accent5 2_QC Sheet" xfId="266"/>
    <cellStyle name="Accent5 3" xfId="267"/>
    <cellStyle name="Accent5 4" xfId="1302"/>
    <cellStyle name="Accent6 2" xfId="268"/>
    <cellStyle name="Accent6 2 2" xfId="269"/>
    <cellStyle name="Accent6 2 2 2" xfId="270"/>
    <cellStyle name="Accent6 2 2 3" xfId="271"/>
    <cellStyle name="Accent6 2 2 4" xfId="272"/>
    <cellStyle name="Accent6 2 3" xfId="273"/>
    <cellStyle name="Accent6 2 4" xfId="274"/>
    <cellStyle name="Accent6 2 5" xfId="275"/>
    <cellStyle name="Accent6 2_QC Sheet" xfId="276"/>
    <cellStyle name="Accent6 3" xfId="277"/>
    <cellStyle name="Accent6 4" xfId="1303"/>
    <cellStyle name="Adjustable" xfId="278"/>
    <cellStyle name="Bad 2" xfId="279"/>
    <cellStyle name="Bad 2 2" xfId="280"/>
    <cellStyle name="Bad 2 2 2" xfId="281"/>
    <cellStyle name="Bad 2 2 3" xfId="282"/>
    <cellStyle name="Bad 2 2 4" xfId="283"/>
    <cellStyle name="Bad 2 3" xfId="284"/>
    <cellStyle name="Bad 2 4" xfId="285"/>
    <cellStyle name="Bad 2 5" xfId="286"/>
    <cellStyle name="Bad 2_QC Sheet" xfId="287"/>
    <cellStyle name="Bad 3" xfId="288"/>
    <cellStyle name="Bad 4" xfId="1304"/>
    <cellStyle name="Calc Currency (0)" xfId="289"/>
    <cellStyle name="Calculation 2" xfId="290"/>
    <cellStyle name="Calculation 2 2" xfId="291"/>
    <cellStyle name="Calculation 2 2 2" xfId="292"/>
    <cellStyle name="Calculation 2 2 3" xfId="293"/>
    <cellStyle name="Calculation 2 2 4" xfId="294"/>
    <cellStyle name="Calculation 2 3" xfId="295"/>
    <cellStyle name="Calculation 2 4" xfId="296"/>
    <cellStyle name="Calculation 2 5" xfId="297"/>
    <cellStyle name="Calculation 2_QC" xfId="298"/>
    <cellStyle name="Calculation 3" xfId="299"/>
    <cellStyle name="Calculation 4" xfId="1305"/>
    <cellStyle name="Check Cell 2" xfId="300"/>
    <cellStyle name="Check Cell 2 2" xfId="301"/>
    <cellStyle name="Check Cell 2 2 2" xfId="302"/>
    <cellStyle name="Check Cell 2 2 3" xfId="303"/>
    <cellStyle name="Check Cell 2 2 4" xfId="304"/>
    <cellStyle name="Check Cell 2 3" xfId="305"/>
    <cellStyle name="Check Cell 2 4" xfId="306"/>
    <cellStyle name="Check Cell 2 5" xfId="307"/>
    <cellStyle name="Check Cell 2_QC" xfId="308"/>
    <cellStyle name="Check Cell 3" xfId="309"/>
    <cellStyle name="Check Cell 4" xfId="1306"/>
    <cellStyle name="Comma" xfId="1560" builtinId="3"/>
    <cellStyle name="Comma 0" xfId="311"/>
    <cellStyle name="Comma 10" xfId="312"/>
    <cellStyle name="Comma 10 2" xfId="313"/>
    <cellStyle name="Comma 10 2 2" xfId="1309"/>
    <cellStyle name="Comma 10 2 2 2" xfId="2198"/>
    <cellStyle name="Comma 10 2 3" xfId="1308"/>
    <cellStyle name="Comma 10 2 4" xfId="1663"/>
    <cellStyle name="Comma 10 3" xfId="1311"/>
    <cellStyle name="Comma 10 3 2" xfId="2199"/>
    <cellStyle name="Comma 10 4" xfId="1312"/>
    <cellStyle name="Comma 10 5" xfId="1307"/>
    <cellStyle name="Comma 10 6" xfId="1662"/>
    <cellStyle name="Comma 11" xfId="314"/>
    <cellStyle name="Comma 11 2" xfId="315"/>
    <cellStyle name="Comma 11 3" xfId="316"/>
    <cellStyle name="Comma 11 3 2" xfId="1313"/>
    <cellStyle name="Comma 11 3 3" xfId="1314"/>
    <cellStyle name="Comma 12" xfId="317"/>
    <cellStyle name="Comma 13" xfId="318"/>
    <cellStyle name="Comma 13 2" xfId="1315"/>
    <cellStyle name="Comma 13 3" xfId="1316"/>
    <cellStyle name="Comma 14" xfId="319"/>
    <cellStyle name="Comma 15" xfId="310"/>
    <cellStyle name="Comma 15 2" xfId="1318"/>
    <cellStyle name="Comma 15 2 2" xfId="2201"/>
    <cellStyle name="Comma 15 3" xfId="1317"/>
    <cellStyle name="Comma 15 3 2" xfId="2200"/>
    <cellStyle name="Comma 16" xfId="1319"/>
    <cellStyle name="Comma 16 2" xfId="1320"/>
    <cellStyle name="Comma 16 3" xfId="1321"/>
    <cellStyle name="Comma 16 3 2" xfId="2203"/>
    <cellStyle name="Comma 16 4" xfId="2202"/>
    <cellStyle name="Comma 17" xfId="1322"/>
    <cellStyle name="Comma 18" xfId="1323"/>
    <cellStyle name="Comma 18 2" xfId="2204"/>
    <cellStyle name="Comma 2" xfId="320"/>
    <cellStyle name="Comma 2 2" xfId="321"/>
    <cellStyle name="Comma 2 2 2" xfId="322"/>
    <cellStyle name="Comma 2 2 2 2" xfId="323"/>
    <cellStyle name="Comma 2 2 2 3" xfId="324"/>
    <cellStyle name="Comma 2 2 3" xfId="325"/>
    <cellStyle name="Comma 2 2 4" xfId="2381"/>
    <cellStyle name="Comma 2 3" xfId="326"/>
    <cellStyle name="Comma 2 3 2" xfId="327"/>
    <cellStyle name="Comma 2 4" xfId="328"/>
    <cellStyle name="Comma 2 4 2" xfId="329"/>
    <cellStyle name="Comma 2 4 2 2" xfId="1666"/>
    <cellStyle name="Comma 2 4 3" xfId="330"/>
    <cellStyle name="Comma 2 4 3 2" xfId="1667"/>
    <cellStyle name="Comma 2 4 4" xfId="1665"/>
    <cellStyle name="Comma 2 5" xfId="331"/>
    <cellStyle name="Comma 2 6" xfId="332"/>
    <cellStyle name="Comma 2 7" xfId="1664"/>
    <cellStyle name="Comma 2_BP-14 Preliminary Capital Forecast NonBudget System_5 2 13" xfId="333"/>
    <cellStyle name="Comma 3" xfId="334"/>
    <cellStyle name="Comma 3 10" xfId="335"/>
    <cellStyle name="Comma 3 11" xfId="336"/>
    <cellStyle name="Comma 3 12" xfId="337"/>
    <cellStyle name="Comma 3 12 2" xfId="1325"/>
    <cellStyle name="Comma 3 12 2 2" xfId="2206"/>
    <cellStyle name="Comma 3 12 3" xfId="1668"/>
    <cellStyle name="Comma 3 13" xfId="338"/>
    <cellStyle name="Comma 3 14" xfId="2327"/>
    <cellStyle name="Comma 3 2" xfId="339"/>
    <cellStyle name="Comma 3 2 10" xfId="2328"/>
    <cellStyle name="Comma 3 2 2" xfId="340"/>
    <cellStyle name="Comma 3 2 2 2" xfId="341"/>
    <cellStyle name="Comma 3 2 2 2 2" xfId="342"/>
    <cellStyle name="Comma 3 2 2 2 2 2" xfId="1669"/>
    <cellStyle name="Comma 3 2 2 2 3" xfId="1326"/>
    <cellStyle name="Comma 3 2 2 3" xfId="343"/>
    <cellStyle name="Comma 3 2 2 3 2" xfId="344"/>
    <cellStyle name="Comma 3 2 2 3 3" xfId="345"/>
    <cellStyle name="Comma 3 2 2 3 3 2" xfId="1327"/>
    <cellStyle name="Comma 3 2 2 3 3 3" xfId="1328"/>
    <cellStyle name="Comma 3 2 2 4" xfId="346"/>
    <cellStyle name="Comma 3 2 2 5" xfId="347"/>
    <cellStyle name="Comma 3 2 2 5 2" xfId="1329"/>
    <cellStyle name="Comma 3 2 2 5 3" xfId="1330"/>
    <cellStyle name="Comma 3 2 2 6" xfId="348"/>
    <cellStyle name="Comma 3 2 2 7" xfId="349"/>
    <cellStyle name="Comma 3 2 2 7 2" xfId="1670"/>
    <cellStyle name="Comma 3 2 2 8" xfId="350"/>
    <cellStyle name="Comma 3 2 2 8 2" xfId="1332"/>
    <cellStyle name="Comma 3 2 3" xfId="351"/>
    <cellStyle name="Comma 3 2 3 2" xfId="352"/>
    <cellStyle name="Comma 3 2 3 2 2" xfId="1672"/>
    <cellStyle name="Comma 3 2 3 3" xfId="353"/>
    <cellStyle name="Comma 3 2 3 4" xfId="354"/>
    <cellStyle name="Comma 3 2 3 5" xfId="1671"/>
    <cellStyle name="Comma 3 2 4" xfId="355"/>
    <cellStyle name="Comma 3 2 4 2" xfId="356"/>
    <cellStyle name="Comma 3 2 5" xfId="357"/>
    <cellStyle name="Comma 3 2 5 2" xfId="358"/>
    <cellStyle name="Comma 3 2 5 3" xfId="359"/>
    <cellStyle name="Comma 3 2 5 3 2" xfId="1333"/>
    <cellStyle name="Comma 3 2 5 3 3" xfId="1334"/>
    <cellStyle name="Comma 3 2 6" xfId="360"/>
    <cellStyle name="Comma 3 2 7" xfId="361"/>
    <cellStyle name="Comma 3 2 8" xfId="362"/>
    <cellStyle name="Comma 3 2 9" xfId="363"/>
    <cellStyle name="Comma 3 3" xfId="364"/>
    <cellStyle name="Comma 3 3 2" xfId="365"/>
    <cellStyle name="Comma 3 3 2 2" xfId="1673"/>
    <cellStyle name="Comma 3 3 3" xfId="366"/>
    <cellStyle name="Comma 3 3 4" xfId="367"/>
    <cellStyle name="Comma 3 3 4 2" xfId="1674"/>
    <cellStyle name="Comma 3 4" xfId="368"/>
    <cellStyle name="Comma 3 4 2" xfId="369"/>
    <cellStyle name="Comma 3 4 2 2" xfId="370"/>
    <cellStyle name="Comma 3 4 2 3" xfId="371"/>
    <cellStyle name="Comma 3 4 2 3 2" xfId="1335"/>
    <cellStyle name="Comma 3 4 2 3 3" xfId="1336"/>
    <cellStyle name="Comma 3 4 3" xfId="372"/>
    <cellStyle name="Comma 3 4 3 2" xfId="1337"/>
    <cellStyle name="Comma 3 4 3 3" xfId="1338"/>
    <cellStyle name="Comma 3 4 4" xfId="373"/>
    <cellStyle name="Comma 3 4 5" xfId="374"/>
    <cellStyle name="Comma 3 4 5 2" xfId="1339"/>
    <cellStyle name="Comma 3 5" xfId="375"/>
    <cellStyle name="Comma 3 5 2" xfId="376"/>
    <cellStyle name="Comma 3 5 2 2" xfId="377"/>
    <cellStyle name="Comma 3 5 2 3" xfId="378"/>
    <cellStyle name="Comma 3 5 2 3 2" xfId="1340"/>
    <cellStyle name="Comma 3 5 2 3 3" xfId="1341"/>
    <cellStyle name="Comma 3 5 3" xfId="379"/>
    <cellStyle name="Comma 3 5 3 2" xfId="1342"/>
    <cellStyle name="Comma 3 5 3 3" xfId="1343"/>
    <cellStyle name="Comma 3 5 4" xfId="380"/>
    <cellStyle name="Comma 3 5 4 2" xfId="1675"/>
    <cellStyle name="Comma 3 5 5" xfId="381"/>
    <cellStyle name="Comma 3 5 5 2" xfId="1344"/>
    <cellStyle name="Comma 3 6" xfId="382"/>
    <cellStyle name="Comma 3 6 2" xfId="383"/>
    <cellStyle name="Comma 3 6 2 2" xfId="384"/>
    <cellStyle name="Comma 3 6 2 3" xfId="385"/>
    <cellStyle name="Comma 3 6 3" xfId="386"/>
    <cellStyle name="Comma 3 7" xfId="387"/>
    <cellStyle name="Comma 3 8" xfId="388"/>
    <cellStyle name="Comma 3 8 2" xfId="389"/>
    <cellStyle name="Comma 3 9" xfId="390"/>
    <cellStyle name="Comma 3 9 2" xfId="391"/>
    <cellStyle name="Comma 3 9 3" xfId="392"/>
    <cellStyle name="Comma 3 9 3 2" xfId="1346"/>
    <cellStyle name="Comma 3 9 3 3" xfId="1347"/>
    <cellStyle name="Comma 4" xfId="393"/>
    <cellStyle name="Comma 4 2" xfId="394"/>
    <cellStyle name="Comma 4 2 2" xfId="395"/>
    <cellStyle name="Comma 4 2 2 2" xfId="396"/>
    <cellStyle name="Comma 4 2 2 2 2" xfId="1677"/>
    <cellStyle name="Comma 4 2 2 3" xfId="1348"/>
    <cellStyle name="Comma 4 2 3" xfId="397"/>
    <cellStyle name="Comma 4 2 3 2" xfId="1678"/>
    <cellStyle name="Comma 4 2 4" xfId="398"/>
    <cellStyle name="Comma 4 2 4 2" xfId="399"/>
    <cellStyle name="Comma 4 2 4 3" xfId="400"/>
    <cellStyle name="Comma 4 2 4 3 2" xfId="1349"/>
    <cellStyle name="Comma 4 2 4 3 3" xfId="1350"/>
    <cellStyle name="Comma 4 2 5" xfId="401"/>
    <cellStyle name="Comma 4 2 5 2" xfId="1351"/>
    <cellStyle name="Comma 4 2 5 3" xfId="1352"/>
    <cellStyle name="Comma 4 2 6" xfId="402"/>
    <cellStyle name="Comma 4 2 7" xfId="403"/>
    <cellStyle name="Comma 4 2 7 2" xfId="1679"/>
    <cellStyle name="Comma 4 2 8" xfId="404"/>
    <cellStyle name="Comma 4 2 8 2" xfId="1353"/>
    <cellStyle name="Comma 4 3" xfId="1676"/>
    <cellStyle name="Comma 5" xfId="405"/>
    <cellStyle name="Comma 5 2" xfId="406"/>
    <cellStyle name="Comma 5 2 2" xfId="1681"/>
    <cellStyle name="Comma 5 3" xfId="407"/>
    <cellStyle name="Comma 5 3 2" xfId="1682"/>
    <cellStyle name="Comma 5 4" xfId="408"/>
    <cellStyle name="Comma 5 5" xfId="1680"/>
    <cellStyle name="Comma 6" xfId="409"/>
    <cellStyle name="Comma 6 10" xfId="410"/>
    <cellStyle name="Comma 6 11" xfId="1683"/>
    <cellStyle name="Comma 6 2" xfId="411"/>
    <cellStyle name="Comma 6 2 2" xfId="412"/>
    <cellStyle name="Comma 6 2 3" xfId="413"/>
    <cellStyle name="Comma 6 2 3 2" xfId="1685"/>
    <cellStyle name="Comma 6 2 4" xfId="414"/>
    <cellStyle name="Comma 6 2 5" xfId="1684"/>
    <cellStyle name="Comma 6 3" xfId="415"/>
    <cellStyle name="Comma 6 3 2" xfId="416"/>
    <cellStyle name="Comma 6 3 3" xfId="417"/>
    <cellStyle name="Comma 6 3 3 2" xfId="1686"/>
    <cellStyle name="Comma 6 4" xfId="418"/>
    <cellStyle name="Comma 6 4 2" xfId="419"/>
    <cellStyle name="Comma 6 5" xfId="420"/>
    <cellStyle name="Comma 6 6" xfId="421"/>
    <cellStyle name="Comma 6 6 2" xfId="422"/>
    <cellStyle name="Comma 6 6 3" xfId="423"/>
    <cellStyle name="Comma 6 6 3 2" xfId="1354"/>
    <cellStyle name="Comma 6 6 3 3" xfId="1355"/>
    <cellStyle name="Comma 6 7" xfId="424"/>
    <cellStyle name="Comma 6 7 2" xfId="1356"/>
    <cellStyle name="Comma 6 7 3" xfId="1357"/>
    <cellStyle name="Comma 6 8" xfId="425"/>
    <cellStyle name="Comma 6 8 2" xfId="1687"/>
    <cellStyle name="Comma 6 9" xfId="426"/>
    <cellStyle name="Comma 7" xfId="427"/>
    <cellStyle name="Comma 7 2" xfId="428"/>
    <cellStyle name="Comma 7 2 2" xfId="1688"/>
    <cellStyle name="Comma 7 3" xfId="429"/>
    <cellStyle name="Comma 7 4" xfId="430"/>
    <cellStyle name="Comma 7 4 2" xfId="1689"/>
    <cellStyle name="Comma 7 5" xfId="431"/>
    <cellStyle name="Comma 7 5 2" xfId="1690"/>
    <cellStyle name="Comma 8" xfId="432"/>
    <cellStyle name="Comma 8 2" xfId="433"/>
    <cellStyle name="Comma 8 3" xfId="434"/>
    <cellStyle name="Comma 8 3 2" xfId="1691"/>
    <cellStyle name="Comma 8 4" xfId="435"/>
    <cellStyle name="Comma 8 4 2" xfId="1692"/>
    <cellStyle name="Comma 8 5" xfId="436"/>
    <cellStyle name="Comma 8 5 2" xfId="1693"/>
    <cellStyle name="Comma 8 6" xfId="437"/>
    <cellStyle name="Comma 9" xfId="438"/>
    <cellStyle name="Comma 9 2" xfId="439"/>
    <cellStyle name="Comma 9 2 2" xfId="1695"/>
    <cellStyle name="Comma 9 3" xfId="440"/>
    <cellStyle name="Comma 9 4" xfId="1694"/>
    <cellStyle name="Comma0" xfId="441"/>
    <cellStyle name="Comma0 - Style4" xfId="442"/>
    <cellStyle name="Comma0 10" xfId="2348"/>
    <cellStyle name="Comma0 11" xfId="2398"/>
    <cellStyle name="Comma0 12" xfId="2399"/>
    <cellStyle name="Comma0 13" xfId="2400"/>
    <cellStyle name="Comma0 14" xfId="2401"/>
    <cellStyle name="Comma0 15" xfId="2403"/>
    <cellStyle name="Comma0 2" xfId="1696"/>
    <cellStyle name="Comma0 3" xfId="2329"/>
    <cellStyle name="Comma0 4" xfId="2336"/>
    <cellStyle name="Comma0 5" xfId="2340"/>
    <cellStyle name="Comma0 6" xfId="2341"/>
    <cellStyle name="Comma0 7" xfId="2346"/>
    <cellStyle name="Comma0 8" xfId="2347"/>
    <cellStyle name="Comma0 9" xfId="2349"/>
    <cellStyle name="Copied" xfId="443"/>
    <cellStyle name="COST1" xfId="444"/>
    <cellStyle name="Curren - Style1" xfId="445"/>
    <cellStyle name="Curren - Style5" xfId="446"/>
    <cellStyle name="Currency 0" xfId="448"/>
    <cellStyle name="Currency 2" xfId="449"/>
    <cellStyle name="Currency 2 2" xfId="450"/>
    <cellStyle name="Currency 2 3" xfId="451"/>
    <cellStyle name="Currency 2 3 2" xfId="1698"/>
    <cellStyle name="Currency 2 4" xfId="452"/>
    <cellStyle name="Currency 2 5" xfId="1697"/>
    <cellStyle name="Currency 3" xfId="453"/>
    <cellStyle name="Currency 3 2" xfId="454"/>
    <cellStyle name="Currency 4" xfId="455"/>
    <cellStyle name="Currency 4 2" xfId="456"/>
    <cellStyle name="Currency 4 2 2" xfId="1700"/>
    <cellStyle name="Currency 4 3" xfId="457"/>
    <cellStyle name="Currency 4 4" xfId="1699"/>
    <cellStyle name="Currency 5" xfId="458"/>
    <cellStyle name="Currency 6" xfId="459"/>
    <cellStyle name="Currency 7" xfId="447"/>
    <cellStyle name="Currency 7 2" xfId="1358"/>
    <cellStyle name="Currency 7 2 2" xfId="2208"/>
    <cellStyle name="Currency 8" xfId="1359"/>
    <cellStyle name="Currency 8 2" xfId="2209"/>
    <cellStyle name="Currency 9" xfId="1360"/>
    <cellStyle name="Currency 9 2" xfId="2210"/>
    <cellStyle name="Currency0" xfId="460"/>
    <cellStyle name="Currency0 2" xfId="1701"/>
    <cellStyle name="Date" xfId="461"/>
    <cellStyle name="Date 2" xfId="462"/>
    <cellStyle name="Date Aligned" xfId="463"/>
    <cellStyle name="Dotted Line" xfId="464"/>
    <cellStyle name="Entered" xfId="465"/>
    <cellStyle name="Entered 2" xfId="1702"/>
    <cellStyle name="Explanatory Text 2" xfId="466"/>
    <cellStyle name="Explanatory Text 2 2" xfId="467"/>
    <cellStyle name="Explanatory Text 2 2 2" xfId="468"/>
    <cellStyle name="Explanatory Text 2 2 3" xfId="469"/>
    <cellStyle name="Explanatory Text 2 2 4" xfId="470"/>
    <cellStyle name="Explanatory Text 2 3" xfId="471"/>
    <cellStyle name="Explanatory Text 2 4" xfId="472"/>
    <cellStyle name="Explanatory Text 2 5" xfId="473"/>
    <cellStyle name="Explanatory Text 2_QC Sheet" xfId="474"/>
    <cellStyle name="Explanatory Text 3" xfId="475"/>
    <cellStyle name="Explanatory Text 4" xfId="1361"/>
    <cellStyle name="Fixed" xfId="476"/>
    <cellStyle name="Fixed3 - Style3" xfId="477"/>
    <cellStyle name="Footnote" xfId="478"/>
    <cellStyle name="Good 2" xfId="479"/>
    <cellStyle name="Good 2 2" xfId="480"/>
    <cellStyle name="Good 2 2 2" xfId="481"/>
    <cellStyle name="Good 2 2 3" xfId="482"/>
    <cellStyle name="Good 2 2 4" xfId="483"/>
    <cellStyle name="Good 2 3" xfId="484"/>
    <cellStyle name="Good 2 4" xfId="485"/>
    <cellStyle name="Good 2 5" xfId="486"/>
    <cellStyle name="Good 2_QC Sheet" xfId="487"/>
    <cellStyle name="Good 3" xfId="488"/>
    <cellStyle name="Good 4" xfId="1362"/>
    <cellStyle name="Grey" xfId="489"/>
    <cellStyle name="Grey 2" xfId="490"/>
    <cellStyle name="Hard Percent" xfId="491"/>
    <cellStyle name="Header" xfId="492"/>
    <cellStyle name="Header1" xfId="493"/>
    <cellStyle name="Header2" xfId="494"/>
    <cellStyle name="Heading 1 2" xfId="495"/>
    <cellStyle name="Heading 1 2 2" xfId="496"/>
    <cellStyle name="Heading 1 2 2 2" xfId="497"/>
    <cellStyle name="Heading 1 2 2 3" xfId="498"/>
    <cellStyle name="Heading 1 2 3" xfId="499"/>
    <cellStyle name="Heading 1 2 4" xfId="500"/>
    <cellStyle name="Heading 1 2 5" xfId="501"/>
    <cellStyle name="Heading 1 2_QC" xfId="502"/>
    <cellStyle name="Heading 1 3" xfId="503"/>
    <cellStyle name="Heading 1 4" xfId="1363"/>
    <cellStyle name="Heading 2 2" xfId="504"/>
    <cellStyle name="Heading 2 2 2" xfId="505"/>
    <cellStyle name="Heading 2 2 2 2" xfId="506"/>
    <cellStyle name="Heading 2 2 2 3" xfId="507"/>
    <cellStyle name="Heading 2 2 3" xfId="508"/>
    <cellStyle name="Heading 2 2 4" xfId="509"/>
    <cellStyle name="Heading 2 2 5" xfId="510"/>
    <cellStyle name="Heading 2 2_QC" xfId="511"/>
    <cellStyle name="Heading 2 3" xfId="512"/>
    <cellStyle name="Heading 2 4" xfId="1365"/>
    <cellStyle name="Heading 3 2" xfId="513"/>
    <cellStyle name="Heading 3 2 2" xfId="514"/>
    <cellStyle name="Heading 3 2 2 2" xfId="515"/>
    <cellStyle name="Heading 3 2 2 3" xfId="516"/>
    <cellStyle name="Heading 3 2 3" xfId="517"/>
    <cellStyle name="Heading 3 2 4" xfId="518"/>
    <cellStyle name="Heading 3 2 5" xfId="519"/>
    <cellStyle name="Heading 3 2_QC" xfId="520"/>
    <cellStyle name="Heading 3 3" xfId="521"/>
    <cellStyle name="Heading 3 4" xfId="1366"/>
    <cellStyle name="Heading 4 2" xfId="522"/>
    <cellStyle name="Heading 4 2 2" xfId="523"/>
    <cellStyle name="Heading 4 2 2 2" xfId="524"/>
    <cellStyle name="Heading 4 2 2 3" xfId="525"/>
    <cellStyle name="Heading 4 2 3" xfId="526"/>
    <cellStyle name="Heading 4 2 4" xfId="527"/>
    <cellStyle name="Heading 4 2 5" xfId="528"/>
    <cellStyle name="Heading 4 3" xfId="529"/>
    <cellStyle name="Heading 4 4" xfId="1367"/>
    <cellStyle name="Heading1" xfId="530"/>
    <cellStyle name="Heading2" xfId="531"/>
    <cellStyle name="Hyperlink" xfId="1561" builtinId="8"/>
    <cellStyle name="Hyperlink 2" xfId="532"/>
    <cellStyle name="Hyperlink 3" xfId="533"/>
    <cellStyle name="Hyperlink 3 2" xfId="1368"/>
    <cellStyle name="Hyperlink 3 3" xfId="1369"/>
    <cellStyle name="Hyperlink 4" xfId="534"/>
    <cellStyle name="Hyperlink 4 2" xfId="1370"/>
    <cellStyle name="Hyperlink 4 3" xfId="1371"/>
    <cellStyle name="Hyperlink 5" xfId="535"/>
    <cellStyle name="Hyperlink 5 2" xfId="1372"/>
    <cellStyle name="Hyperlink 5 3" xfId="1373"/>
    <cellStyle name="Hyperlink 6" xfId="1374"/>
    <cellStyle name="Input [yellow]" xfId="536"/>
    <cellStyle name="Input [yellow] 2" xfId="537"/>
    <cellStyle name="Input 2" xfId="538"/>
    <cellStyle name="Input 2 2" xfId="539"/>
    <cellStyle name="Input 2 2 2" xfId="540"/>
    <cellStyle name="Input 2 2 3" xfId="541"/>
    <cellStyle name="Input 2 2 4" xfId="542"/>
    <cellStyle name="Input 2 3" xfId="543"/>
    <cellStyle name="Input 2 4" xfId="544"/>
    <cellStyle name="Input 2 5" xfId="545"/>
    <cellStyle name="Input 2_QC" xfId="546"/>
    <cellStyle name="Input 3" xfId="547"/>
    <cellStyle name="Input 4" xfId="548"/>
    <cellStyle name="Input 5" xfId="549"/>
    <cellStyle name="Input 6" xfId="550"/>
    <cellStyle name="Input 7" xfId="551"/>
    <cellStyle name="Input 8" xfId="552"/>
    <cellStyle name="Input 9" xfId="1375"/>
    <cellStyle name="Input Cells" xfId="553"/>
    <cellStyle name="Lines" xfId="554"/>
    <cellStyle name="Lines 2" xfId="555"/>
    <cellStyle name="Linked Cell 2" xfId="556"/>
    <cellStyle name="Linked Cell 2 2" xfId="557"/>
    <cellStyle name="Linked Cell 2 2 2" xfId="558"/>
    <cellStyle name="Linked Cell 2 2 2 2" xfId="2338"/>
    <cellStyle name="Linked Cell 2 2 3" xfId="559"/>
    <cellStyle name="Linked Cell 2 2 3 2" xfId="2333"/>
    <cellStyle name="Linked Cell 2 2 4" xfId="2334"/>
    <cellStyle name="Linked Cell 2 3" xfId="560"/>
    <cellStyle name="Linked Cell 2 3 2" xfId="2337"/>
    <cellStyle name="Linked Cell 2 4" xfId="561"/>
    <cellStyle name="Linked Cell 2 4 2" xfId="2332"/>
    <cellStyle name="Linked Cell 2 5" xfId="2339"/>
    <cellStyle name="Linked Cell 2_QC" xfId="562"/>
    <cellStyle name="Linked Cell 3" xfId="563"/>
    <cellStyle name="Linked Cell 3 2" xfId="2331"/>
    <cellStyle name="Linked Cell 4" xfId="1377"/>
    <cellStyle name="modified border" xfId="564"/>
    <cellStyle name="modified border1" xfId="565"/>
    <cellStyle name="Multiple" xfId="566"/>
    <cellStyle name="Neutral 2" xfId="567"/>
    <cellStyle name="Neutral 2 2" xfId="568"/>
    <cellStyle name="Neutral 2 2 2" xfId="569"/>
    <cellStyle name="Neutral 2 2 3" xfId="570"/>
    <cellStyle name="Neutral 2 3" xfId="571"/>
    <cellStyle name="Neutral 2 4" xfId="572"/>
    <cellStyle name="Neutral 2_QC Sheet" xfId="573"/>
    <cellStyle name="Neutral 3" xfId="574"/>
    <cellStyle name="Neutral 4" xfId="1378"/>
    <cellStyle name="no dec" xfId="575"/>
    <cellStyle name="Normal" xfId="0" builtinId="0"/>
    <cellStyle name="Normal - Style1" xfId="576"/>
    <cellStyle name="Normal 10" xfId="577"/>
    <cellStyle name="Normal 10 2" xfId="578"/>
    <cellStyle name="Normal 10 2 2" xfId="1704"/>
    <cellStyle name="Normal 10 3" xfId="579"/>
    <cellStyle name="Normal 10 4" xfId="1703"/>
    <cellStyle name="Normal 100" xfId="580"/>
    <cellStyle name="Normal 100 2" xfId="1705"/>
    <cellStyle name="Normal 101" xfId="581"/>
    <cellStyle name="Normal 101 2" xfId="1706"/>
    <cellStyle name="Normal 102" xfId="582"/>
    <cellStyle name="Normal 102 2" xfId="1707"/>
    <cellStyle name="Normal 103" xfId="583"/>
    <cellStyle name="Normal 103 2" xfId="1708"/>
    <cellStyle name="Normal 104" xfId="584"/>
    <cellStyle name="Normal 104 2" xfId="1709"/>
    <cellStyle name="Normal 105" xfId="585"/>
    <cellStyle name="Normal 105 2" xfId="1710"/>
    <cellStyle name="Normal 106" xfId="586"/>
    <cellStyle name="Normal 106 2" xfId="1711"/>
    <cellStyle name="Normal 107" xfId="587"/>
    <cellStyle name="Normal 107 2" xfId="1712"/>
    <cellStyle name="Normal 108" xfId="588"/>
    <cellStyle name="Normal 108 2" xfId="1713"/>
    <cellStyle name="Normal 109" xfId="589"/>
    <cellStyle name="Normal 109 2" xfId="590"/>
    <cellStyle name="Normal 109 2 2" xfId="1715"/>
    <cellStyle name="Normal 109 3" xfId="1714"/>
    <cellStyle name="Normal 11" xfId="591"/>
    <cellStyle name="Normal 11 2" xfId="592"/>
    <cellStyle name="Normal 11 3" xfId="593"/>
    <cellStyle name="Normal 11 3 2" xfId="1379"/>
    <cellStyle name="Normal 11 3 3" xfId="1380"/>
    <cellStyle name="Normal 11 4" xfId="594"/>
    <cellStyle name="Normal 110" xfId="595"/>
    <cellStyle name="Normal 110 2" xfId="596"/>
    <cellStyle name="Normal 110 2 2" xfId="1717"/>
    <cellStyle name="Normal 110 3" xfId="1716"/>
    <cellStyle name="Normal 111" xfId="597"/>
    <cellStyle name="Normal 111 2" xfId="598"/>
    <cellStyle name="Normal 111 2 2" xfId="1719"/>
    <cellStyle name="Normal 111 3" xfId="1718"/>
    <cellStyle name="Normal 112" xfId="599"/>
    <cellStyle name="Normal 112 2" xfId="600"/>
    <cellStyle name="Normal 112 2 2" xfId="1721"/>
    <cellStyle name="Normal 112 3" xfId="1720"/>
    <cellStyle name="Normal 113" xfId="601"/>
    <cellStyle name="Normal 113 2" xfId="602"/>
    <cellStyle name="Normal 113 2 2" xfId="1723"/>
    <cellStyle name="Normal 113 3" xfId="1722"/>
    <cellStyle name="Normal 114" xfId="603"/>
    <cellStyle name="Normal 114 2" xfId="604"/>
    <cellStyle name="Normal 114 2 2" xfId="1725"/>
    <cellStyle name="Normal 114 3" xfId="1724"/>
    <cellStyle name="Normal 115" xfId="605"/>
    <cellStyle name="Normal 115 2" xfId="606"/>
    <cellStyle name="Normal 115 2 2" xfId="1727"/>
    <cellStyle name="Normal 115 3" xfId="1726"/>
    <cellStyle name="Normal 116" xfId="607"/>
    <cellStyle name="Normal 116 2" xfId="1728"/>
    <cellStyle name="Normal 117" xfId="608"/>
    <cellStyle name="Normal 117 2" xfId="1729"/>
    <cellStyle name="Normal 118" xfId="609"/>
    <cellStyle name="Normal 118 2" xfId="1730"/>
    <cellStyle name="Normal 119" xfId="610"/>
    <cellStyle name="Normal 119 2" xfId="1731"/>
    <cellStyle name="Normal 12" xfId="611"/>
    <cellStyle name="Normal 12 2" xfId="1644"/>
    <cellStyle name="Normal 120" xfId="612"/>
    <cellStyle name="Normal 120 2" xfId="1732"/>
    <cellStyle name="Normal 121" xfId="613"/>
    <cellStyle name="Normal 121 2" xfId="1733"/>
    <cellStyle name="Normal 122" xfId="614"/>
    <cellStyle name="Normal 122 2" xfId="1734"/>
    <cellStyle name="Normal 123" xfId="615"/>
    <cellStyle name="Normal 123 2" xfId="1735"/>
    <cellStyle name="Normal 124" xfId="616"/>
    <cellStyle name="Normal 124 2" xfId="1736"/>
    <cellStyle name="Normal 125" xfId="617"/>
    <cellStyle name="Normal 125 2" xfId="1737"/>
    <cellStyle name="Normal 126" xfId="618"/>
    <cellStyle name="Normal 126 2" xfId="1738"/>
    <cellStyle name="Normal 127" xfId="619"/>
    <cellStyle name="Normal 127 2" xfId="1739"/>
    <cellStyle name="Normal 128" xfId="620"/>
    <cellStyle name="Normal 128 2" xfId="1740"/>
    <cellStyle name="Normal 129" xfId="621"/>
    <cellStyle name="Normal 129 2" xfId="1741"/>
    <cellStyle name="Normal 13" xfId="622"/>
    <cellStyle name="Normal 13 2" xfId="623"/>
    <cellStyle name="Normal 13 2 2" xfId="1743"/>
    <cellStyle name="Normal 13 3" xfId="1742"/>
    <cellStyle name="Normal 130" xfId="624"/>
    <cellStyle name="Normal 130 2" xfId="1744"/>
    <cellStyle name="Normal 131" xfId="625"/>
    <cellStyle name="Normal 131 2" xfId="1745"/>
    <cellStyle name="Normal 132" xfId="626"/>
    <cellStyle name="Normal 132 2" xfId="627"/>
    <cellStyle name="Normal 132 2 2" xfId="1747"/>
    <cellStyle name="Normal 132 3" xfId="1746"/>
    <cellStyle name="Normal 133" xfId="628"/>
    <cellStyle name="Normal 133 2" xfId="629"/>
    <cellStyle name="Normal 133 2 2" xfId="1749"/>
    <cellStyle name="Normal 133 3" xfId="1748"/>
    <cellStyle name="Normal 134" xfId="630"/>
    <cellStyle name="Normal 134 2" xfId="631"/>
    <cellStyle name="Normal 134 2 2" xfId="1751"/>
    <cellStyle name="Normal 134 3" xfId="1750"/>
    <cellStyle name="Normal 135" xfId="632"/>
    <cellStyle name="Normal 135 2" xfId="633"/>
    <cellStyle name="Normal 135 2 2" xfId="1753"/>
    <cellStyle name="Normal 135 3" xfId="1752"/>
    <cellStyle name="Normal 136" xfId="634"/>
    <cellStyle name="Normal 136 2" xfId="635"/>
    <cellStyle name="Normal 136 2 2" xfId="1755"/>
    <cellStyle name="Normal 136 3" xfId="1754"/>
    <cellStyle name="Normal 137" xfId="636"/>
    <cellStyle name="Normal 137 2" xfId="637"/>
    <cellStyle name="Normal 137 2 2" xfId="1757"/>
    <cellStyle name="Normal 137 3" xfId="1756"/>
    <cellStyle name="Normal 138" xfId="638"/>
    <cellStyle name="Normal 138 2" xfId="639"/>
    <cellStyle name="Normal 138 2 2" xfId="1759"/>
    <cellStyle name="Normal 138 3" xfId="1758"/>
    <cellStyle name="Normal 139" xfId="640"/>
    <cellStyle name="Normal 139 2" xfId="641"/>
    <cellStyle name="Normal 139 2 2" xfId="1761"/>
    <cellStyle name="Normal 139 3" xfId="1760"/>
    <cellStyle name="Normal 14" xfId="642"/>
    <cellStyle name="Normal 14 2" xfId="1762"/>
    <cellStyle name="Normal 140" xfId="643"/>
    <cellStyle name="Normal 140 2" xfId="644"/>
    <cellStyle name="Normal 140 2 2" xfId="1764"/>
    <cellStyle name="Normal 140 3" xfId="1763"/>
    <cellStyle name="Normal 141" xfId="645"/>
    <cellStyle name="Normal 141 2" xfId="646"/>
    <cellStyle name="Normal 141 2 2" xfId="1766"/>
    <cellStyle name="Normal 141 3" xfId="1765"/>
    <cellStyle name="Normal 142" xfId="647"/>
    <cellStyle name="Normal 142 2" xfId="648"/>
    <cellStyle name="Normal 142 2 2" xfId="1768"/>
    <cellStyle name="Normal 142 3" xfId="1767"/>
    <cellStyle name="Normal 143" xfId="649"/>
    <cellStyle name="Normal 143 2" xfId="650"/>
    <cellStyle name="Normal 143 2 2" xfId="1770"/>
    <cellStyle name="Normal 143 3" xfId="1769"/>
    <cellStyle name="Normal 144" xfId="651"/>
    <cellStyle name="Normal 144 2" xfId="1771"/>
    <cellStyle name="Normal 145" xfId="652"/>
    <cellStyle name="Normal 145 2" xfId="1772"/>
    <cellStyle name="Normal 146" xfId="653"/>
    <cellStyle name="Normal 146 2" xfId="1773"/>
    <cellStyle name="Normal 147" xfId="654"/>
    <cellStyle name="Normal 147 2" xfId="1774"/>
    <cellStyle name="Normal 148" xfId="655"/>
    <cellStyle name="Normal 148 2" xfId="1775"/>
    <cellStyle name="Normal 149" xfId="656"/>
    <cellStyle name="Normal 149 2" xfId="1776"/>
    <cellStyle name="Normal 15" xfId="657"/>
    <cellStyle name="Normal 15 2" xfId="1777"/>
    <cellStyle name="Normal 150" xfId="658"/>
    <cellStyle name="Normal 150 2" xfId="1778"/>
    <cellStyle name="Normal 151" xfId="659"/>
    <cellStyle name="Normal 151 2" xfId="1779"/>
    <cellStyle name="Normal 152" xfId="660"/>
    <cellStyle name="Normal 152 2" xfId="1780"/>
    <cellStyle name="Normal 153" xfId="661"/>
    <cellStyle name="Normal 153 2" xfId="1781"/>
    <cellStyle name="Normal 154" xfId="662"/>
    <cellStyle name="Normal 154 2" xfId="1782"/>
    <cellStyle name="Normal 155" xfId="663"/>
    <cellStyle name="Normal 155 2" xfId="1783"/>
    <cellStyle name="Normal 156" xfId="664"/>
    <cellStyle name="Normal 156 2" xfId="1784"/>
    <cellStyle name="Normal 157" xfId="665"/>
    <cellStyle name="Normal 157 2" xfId="1785"/>
    <cellStyle name="Normal 158" xfId="666"/>
    <cellStyle name="Normal 158 2" xfId="1786"/>
    <cellStyle name="Normal 159" xfId="667"/>
    <cellStyle name="Normal 159 2" xfId="1787"/>
    <cellStyle name="Normal 16" xfId="668"/>
    <cellStyle name="Normal 16 2" xfId="1788"/>
    <cellStyle name="Normal 160" xfId="669"/>
    <cellStyle name="Normal 160 2" xfId="1789"/>
    <cellStyle name="Normal 161" xfId="670"/>
    <cellStyle name="Normal 161 2" xfId="1790"/>
    <cellStyle name="Normal 162" xfId="671"/>
    <cellStyle name="Normal 162 2" xfId="1791"/>
    <cellStyle name="Normal 163" xfId="672"/>
    <cellStyle name="Normal 163 2" xfId="1792"/>
    <cellStyle name="Normal 164" xfId="673"/>
    <cellStyle name="Normal 164 2" xfId="1793"/>
    <cellStyle name="Normal 165" xfId="674"/>
    <cellStyle name="Normal 165 2" xfId="1794"/>
    <cellStyle name="Normal 166" xfId="675"/>
    <cellStyle name="Normal 166 2" xfId="1795"/>
    <cellStyle name="Normal 167" xfId="676"/>
    <cellStyle name="Normal 167 2" xfId="1796"/>
    <cellStyle name="Normal 168" xfId="677"/>
    <cellStyle name="Normal 168 2" xfId="678"/>
    <cellStyle name="Normal 168 2 2" xfId="1798"/>
    <cellStyle name="Normal 168 3" xfId="1797"/>
    <cellStyle name="Normal 169" xfId="679"/>
    <cellStyle name="Normal 169 2" xfId="680"/>
    <cellStyle name="Normal 169 2 2" xfId="1800"/>
    <cellStyle name="Normal 169 3" xfId="1799"/>
    <cellStyle name="Normal 17" xfId="681"/>
    <cellStyle name="Normal 17 2" xfId="1801"/>
    <cellStyle name="Normal 170" xfId="682"/>
    <cellStyle name="Normal 170 2" xfId="683"/>
    <cellStyle name="Normal 170 2 2" xfId="1803"/>
    <cellStyle name="Normal 170 3" xfId="1802"/>
    <cellStyle name="Normal 171" xfId="684"/>
    <cellStyle name="Normal 171 2" xfId="685"/>
    <cellStyle name="Normal 171 2 2" xfId="1805"/>
    <cellStyle name="Normal 171 3" xfId="1804"/>
    <cellStyle name="Normal 172" xfId="686"/>
    <cellStyle name="Normal 172 2" xfId="1806"/>
    <cellStyle name="Normal 173" xfId="687"/>
    <cellStyle name="Normal 173 2" xfId="1807"/>
    <cellStyle name="Normal 174" xfId="688"/>
    <cellStyle name="Normal 174 2" xfId="1808"/>
    <cellStyle name="Normal 175" xfId="689"/>
    <cellStyle name="Normal 175 2" xfId="1809"/>
    <cellStyle name="Normal 176" xfId="690"/>
    <cellStyle name="Normal 176 2" xfId="1810"/>
    <cellStyle name="Normal 177" xfId="691"/>
    <cellStyle name="Normal 177 2" xfId="1811"/>
    <cellStyle name="Normal 178" xfId="692"/>
    <cellStyle name="Normal 178 2" xfId="1812"/>
    <cellStyle name="Normal 179" xfId="693"/>
    <cellStyle name="Normal 179 2" xfId="1813"/>
    <cellStyle name="Normal 18" xfId="694"/>
    <cellStyle name="Normal 18 2" xfId="695"/>
    <cellStyle name="Normal 18 3" xfId="696"/>
    <cellStyle name="Normal 18 3 2" xfId="1383"/>
    <cellStyle name="Normal 18 3 3" xfId="1384"/>
    <cellStyle name="Normal 18 4" xfId="697"/>
    <cellStyle name="Normal 180" xfId="698"/>
    <cellStyle name="Normal 180 2" xfId="1814"/>
    <cellStyle name="Normal 181" xfId="699"/>
    <cellStyle name="Normal 181 2" xfId="1815"/>
    <cellStyle name="Normal 182" xfId="700"/>
    <cellStyle name="Normal 182 2" xfId="1385"/>
    <cellStyle name="Normal 182 3" xfId="1386"/>
    <cellStyle name="Normal 183" xfId="701"/>
    <cellStyle name="Normal 183 2" xfId="1387"/>
    <cellStyle name="Normal 183 3" xfId="1388"/>
    <cellStyle name="Normal 184" xfId="702"/>
    <cellStyle name="Normal 184 2" xfId="1389"/>
    <cellStyle name="Normal 184 3" xfId="1390"/>
    <cellStyle name="Normal 185" xfId="703"/>
    <cellStyle name="Normal 185 2" xfId="704"/>
    <cellStyle name="Normal 185 2 2" xfId="1391"/>
    <cellStyle name="Normal 185 2 3" xfId="1392"/>
    <cellStyle name="Normal 185 3" xfId="705"/>
    <cellStyle name="Normal 185 3 2" xfId="1817"/>
    <cellStyle name="Normal 185 4" xfId="1816"/>
    <cellStyle name="Normal 186" xfId="706"/>
    <cellStyle name="Normal 186 2" xfId="1818"/>
    <cellStyle name="Normal 187" xfId="707"/>
    <cellStyle name="Normal 187 2" xfId="1819"/>
    <cellStyle name="Normal 188" xfId="708"/>
    <cellStyle name="Normal 188 2" xfId="1820"/>
    <cellStyle name="Normal 189" xfId="709"/>
    <cellStyle name="Normal 189 2" xfId="1821"/>
    <cellStyle name="Normal 19" xfId="710"/>
    <cellStyle name="Normal 19 2" xfId="1822"/>
    <cellStyle name="Normal 190" xfId="711"/>
    <cellStyle name="Normal 190 2" xfId="1823"/>
    <cellStyle name="Normal 191" xfId="712"/>
    <cellStyle name="Normal 191 2" xfId="1824"/>
    <cellStyle name="Normal 192" xfId="713"/>
    <cellStyle name="Normal 192 2" xfId="1825"/>
    <cellStyle name="Normal 193" xfId="714"/>
    <cellStyle name="Normal 193 2" xfId="1826"/>
    <cellStyle name="Normal 194" xfId="715"/>
    <cellStyle name="Normal 194 2" xfId="1827"/>
    <cellStyle name="Normal 195" xfId="716"/>
    <cellStyle name="Normal 195 2" xfId="1828"/>
    <cellStyle name="Normal 196" xfId="717"/>
    <cellStyle name="Normal 196 2" xfId="1829"/>
    <cellStyle name="Normal 197" xfId="718"/>
    <cellStyle name="Normal 197 2" xfId="1830"/>
    <cellStyle name="Normal 198" xfId="719"/>
    <cellStyle name="Normal 198 2" xfId="1831"/>
    <cellStyle name="Normal 199" xfId="720"/>
    <cellStyle name="Normal 199 2" xfId="1396"/>
    <cellStyle name="Normal 199 3" xfId="1397"/>
    <cellStyle name="Normal 2" xfId="721"/>
    <cellStyle name="Normal 2 2" xfId="722"/>
    <cellStyle name="Normal 2 2 2" xfId="1833"/>
    <cellStyle name="Normal 2 3" xfId="723"/>
    <cellStyle name="Normal 2 3 2" xfId="1834"/>
    <cellStyle name="Normal 2 4" xfId="1832"/>
    <cellStyle name="Normal 2_Federal Interest Calculation Su" xfId="724"/>
    <cellStyle name="Normal 20" xfId="725"/>
    <cellStyle name="Normal 20 2" xfId="726"/>
    <cellStyle name="Normal 20 3" xfId="727"/>
    <cellStyle name="Normal 20 3 2" xfId="1398"/>
    <cellStyle name="Normal 20 3 3" xfId="1399"/>
    <cellStyle name="Normal 20 4" xfId="728"/>
    <cellStyle name="Normal 200" xfId="729"/>
    <cellStyle name="Normal 200 2" xfId="1835"/>
    <cellStyle name="Normal 201" xfId="730"/>
    <cellStyle name="Normal 201 2" xfId="1836"/>
    <cellStyle name="Normal 202" xfId="731"/>
    <cellStyle name="Normal 202 2" xfId="1837"/>
    <cellStyle name="Normal 203" xfId="732"/>
    <cellStyle name="Normal 203 2" xfId="1838"/>
    <cellStyle name="Normal 204" xfId="733"/>
    <cellStyle name="Normal 204 2" xfId="1839"/>
    <cellStyle name="Normal 205" xfId="734"/>
    <cellStyle name="Normal 205 2" xfId="1840"/>
    <cellStyle name="Normal 206" xfId="735"/>
    <cellStyle name="Normal 206 2" xfId="1841"/>
    <cellStyle name="Normal 207" xfId="736"/>
    <cellStyle name="Normal 207 2" xfId="1842"/>
    <cellStyle name="Normal 208" xfId="737"/>
    <cellStyle name="Normal 208 2" xfId="1400"/>
    <cellStyle name="Normal 208 2 2" xfId="2212"/>
    <cellStyle name="Normal 208 3" xfId="1843"/>
    <cellStyle name="Normal 209" xfId="738"/>
    <cellStyle name="Normal 209 2" xfId="1401"/>
    <cellStyle name="Normal 209 2 2" xfId="2213"/>
    <cellStyle name="Normal 209 3" xfId="1844"/>
    <cellStyle name="Normal 21" xfId="739"/>
    <cellStyle name="Normal 21 2" xfId="1845"/>
    <cellStyle name="Normal 210" xfId="740"/>
    <cellStyle name="Normal 210 2" xfId="1846"/>
    <cellStyle name="Normal 211" xfId="741"/>
    <cellStyle name="Normal 211 2" xfId="742"/>
    <cellStyle name="Normal 211 2 2" xfId="1848"/>
    <cellStyle name="Normal 211 3" xfId="1402"/>
    <cellStyle name="Normal 211 3 2" xfId="2214"/>
    <cellStyle name="Normal 211 4" xfId="1847"/>
    <cellStyle name="Normal 212" xfId="743"/>
    <cellStyle name="Normal 212 2" xfId="744"/>
    <cellStyle name="Normal 212 2 2" xfId="1850"/>
    <cellStyle name="Normal 212 3" xfId="1403"/>
    <cellStyle name="Normal 212 3 2" xfId="2215"/>
    <cellStyle name="Normal 212 4" xfId="1849"/>
    <cellStyle name="Normal 213" xfId="745"/>
    <cellStyle name="Normal 213 2" xfId="746"/>
    <cellStyle name="Normal 213 2 2" xfId="1852"/>
    <cellStyle name="Normal 213 3" xfId="1404"/>
    <cellStyle name="Normal 213 3 2" xfId="2216"/>
    <cellStyle name="Normal 213 4" xfId="1851"/>
    <cellStyle name="Normal 214" xfId="747"/>
    <cellStyle name="Normal 214 2" xfId="748"/>
    <cellStyle name="Normal 214 2 2" xfId="1854"/>
    <cellStyle name="Normal 214 3" xfId="1405"/>
    <cellStyle name="Normal 214 3 2" xfId="2217"/>
    <cellStyle name="Normal 214 4" xfId="1853"/>
    <cellStyle name="Normal 215" xfId="749"/>
    <cellStyle name="Normal 215 2" xfId="750"/>
    <cellStyle name="Normal 215 2 2" xfId="1856"/>
    <cellStyle name="Normal 215 3" xfId="1406"/>
    <cellStyle name="Normal 215 3 2" xfId="2218"/>
    <cellStyle name="Normal 215 4" xfId="1855"/>
    <cellStyle name="Normal 216" xfId="751"/>
    <cellStyle name="Normal 216 2" xfId="1407"/>
    <cellStyle name="Normal 216 2 2" xfId="2219"/>
    <cellStyle name="Normal 216 3" xfId="1857"/>
    <cellStyle name="Normal 217" xfId="752"/>
    <cellStyle name="Normal 217 2" xfId="1408"/>
    <cellStyle name="Normal 217 2 2" xfId="2220"/>
    <cellStyle name="Normal 217 3" xfId="1858"/>
    <cellStyle name="Normal 218" xfId="753"/>
    <cellStyle name="Normal 218 2" xfId="1409"/>
    <cellStyle name="Normal 218 2 2" xfId="2221"/>
    <cellStyle name="Normal 218 3" xfId="1859"/>
    <cellStyle name="Normal 219" xfId="754"/>
    <cellStyle name="Normal 219 2" xfId="1410"/>
    <cellStyle name="Normal 219 2 2" xfId="2222"/>
    <cellStyle name="Normal 219 3" xfId="1860"/>
    <cellStyle name="Normal 22" xfId="755"/>
    <cellStyle name="Normal 22 2" xfId="1861"/>
    <cellStyle name="Normal 220" xfId="756"/>
    <cellStyle name="Normal 220 2" xfId="1862"/>
    <cellStyle name="Normal 221" xfId="757"/>
    <cellStyle name="Normal 221 2" xfId="1411"/>
    <cellStyle name="Normal 221 3" xfId="1863"/>
    <cellStyle name="Normal 222" xfId="758"/>
    <cellStyle name="Normal 222 2" xfId="1412"/>
    <cellStyle name="Normal 222 3" xfId="1864"/>
    <cellStyle name="Normal 223" xfId="759"/>
    <cellStyle name="Normal 223 2" xfId="1865"/>
    <cellStyle name="Normal 224" xfId="760"/>
    <cellStyle name="Normal 224 2" xfId="1413"/>
    <cellStyle name="Normal 224 2 2" xfId="2223"/>
    <cellStyle name="Normal 225" xfId="761"/>
    <cellStyle name="Normal 225 2" xfId="1414"/>
    <cellStyle name="Normal 225 2 2" xfId="2224"/>
    <cellStyle name="Normal 226" xfId="762"/>
    <cellStyle name="Normal 226 2" xfId="1415"/>
    <cellStyle name="Normal 226 2 2" xfId="2225"/>
    <cellStyle name="Normal 227" xfId="763"/>
    <cellStyle name="Normal 227 2" xfId="1416"/>
    <cellStyle name="Normal 227 2 2" xfId="2226"/>
    <cellStyle name="Normal 228" xfId="764"/>
    <cellStyle name="Normal 228 2" xfId="1417"/>
    <cellStyle name="Normal 228 2 2" xfId="2227"/>
    <cellStyle name="Normal 229" xfId="765"/>
    <cellStyle name="Normal 229 2" xfId="1418"/>
    <cellStyle name="Normal 229 2 2" xfId="2228"/>
    <cellStyle name="Normal 23" xfId="766"/>
    <cellStyle name="Normal 23 2" xfId="1866"/>
    <cellStyle name="Normal 230" xfId="767"/>
    <cellStyle name="Normal 230 2" xfId="1867"/>
    <cellStyle name="Normal 231" xfId="768"/>
    <cellStyle name="Normal 231 2" xfId="1868"/>
    <cellStyle name="Normal 232" xfId="1"/>
    <cellStyle name="Normal 232 2" xfId="1419"/>
    <cellStyle name="Normal 232 2 2" xfId="2229"/>
    <cellStyle name="Normal 233" xfId="1278"/>
    <cellStyle name="Normal 233 2" xfId="1420"/>
    <cellStyle name="Normal 233 2 2" xfId="2230"/>
    <cellStyle name="Normal 234" xfId="1538"/>
    <cellStyle name="Normal 234 2" xfId="1421"/>
    <cellStyle name="Normal 234 2 2" xfId="2231"/>
    <cellStyle name="Normal 235" xfId="1422"/>
    <cellStyle name="Normal 235 2" xfId="2232"/>
    <cellStyle name="Normal 236" xfId="1423"/>
    <cellStyle name="Normal 236 2" xfId="2233"/>
    <cellStyle name="Normal 237" xfId="1424"/>
    <cellStyle name="Normal 237 2" xfId="2234"/>
    <cellStyle name="Normal 238" xfId="1425"/>
    <cellStyle name="Normal 238 2" xfId="2235"/>
    <cellStyle name="Normal 239" xfId="1426"/>
    <cellStyle name="Normal 239 2" xfId="2236"/>
    <cellStyle name="Normal 24" xfId="769"/>
    <cellStyle name="Normal 24 2" xfId="1869"/>
    <cellStyle name="Normal 240" xfId="1427"/>
    <cellStyle name="Normal 240 2" xfId="2237"/>
    <cellStyle name="Normal 241" xfId="1428"/>
    <cellStyle name="Normal 241 2" xfId="2238"/>
    <cellStyle name="Normal 242" xfId="1429"/>
    <cellStyle name="Normal 242 2" xfId="2239"/>
    <cellStyle name="Normal 243" xfId="1430"/>
    <cellStyle name="Normal 243 2" xfId="2240"/>
    <cellStyle name="Normal 244" xfId="1431"/>
    <cellStyle name="Normal 244 2" xfId="2241"/>
    <cellStyle name="Normal 245" xfId="1432"/>
    <cellStyle name="Normal 245 2" xfId="2242"/>
    <cellStyle name="Normal 246" xfId="1433"/>
    <cellStyle name="Normal 246 2" xfId="2243"/>
    <cellStyle name="Normal 247" xfId="1434"/>
    <cellStyle name="Normal 247 2" xfId="2244"/>
    <cellStyle name="Normal 248" xfId="1435"/>
    <cellStyle name="Normal 248 2" xfId="2245"/>
    <cellStyle name="Normal 249" xfId="1436"/>
    <cellStyle name="Normal 249 2" xfId="2246"/>
    <cellStyle name="Normal 25" xfId="770"/>
    <cellStyle name="Normal 25 2" xfId="1870"/>
    <cellStyle name="Normal 250" xfId="1437"/>
    <cellStyle name="Normal 250 2" xfId="2247"/>
    <cellStyle name="Normal 251" xfId="1438"/>
    <cellStyle name="Normal 251 2" xfId="2248"/>
    <cellStyle name="Normal 252" xfId="1439"/>
    <cellStyle name="Normal 252 2" xfId="2249"/>
    <cellStyle name="Normal 253" xfId="1440"/>
    <cellStyle name="Normal 253 2" xfId="2250"/>
    <cellStyle name="Normal 254" xfId="1441"/>
    <cellStyle name="Normal 254 2" xfId="2251"/>
    <cellStyle name="Normal 255" xfId="1442"/>
    <cellStyle name="Normal 255 2" xfId="2252"/>
    <cellStyle name="Normal 256" xfId="1443"/>
    <cellStyle name="Normal 256 2" xfId="2253"/>
    <cellStyle name="Normal 257" xfId="1444"/>
    <cellStyle name="Normal 257 2" xfId="2254"/>
    <cellStyle name="Normal 258" xfId="1445"/>
    <cellStyle name="Normal 258 2" xfId="2255"/>
    <cellStyle name="Normal 259" xfId="1446"/>
    <cellStyle name="Normal 259 2" xfId="2256"/>
    <cellStyle name="Normal 26" xfId="771"/>
    <cellStyle name="Normal 26 2" xfId="1871"/>
    <cellStyle name="Normal 260" xfId="1447"/>
    <cellStyle name="Normal 260 2" xfId="2257"/>
    <cellStyle name="Normal 261" xfId="1448"/>
    <cellStyle name="Normal 261 2" xfId="2258"/>
    <cellStyle name="Normal 262" xfId="1449"/>
    <cellStyle name="Normal 262 2" xfId="2259"/>
    <cellStyle name="Normal 263" xfId="1450"/>
    <cellStyle name="Normal 263 2" xfId="2260"/>
    <cellStyle name="Normal 264" xfId="1451"/>
    <cellStyle name="Normal 265" xfId="1452"/>
    <cellStyle name="Normal 265 2" xfId="2261"/>
    <cellStyle name="Normal 266" xfId="1453"/>
    <cellStyle name="Normal 266 2" xfId="2262"/>
    <cellStyle name="Normal 267" xfId="1454"/>
    <cellStyle name="Normal 267 2" xfId="2263"/>
    <cellStyle name="Normal 268" xfId="1455"/>
    <cellStyle name="Normal 268 2" xfId="2264"/>
    <cellStyle name="Normal 269" xfId="1456"/>
    <cellStyle name="Normal 269 2" xfId="2265"/>
    <cellStyle name="Normal 27" xfId="772"/>
    <cellStyle name="Normal 27 2" xfId="1872"/>
    <cellStyle name="Normal 270" xfId="1457"/>
    <cellStyle name="Normal 270 2" xfId="2266"/>
    <cellStyle name="Normal 271" xfId="1458"/>
    <cellStyle name="Normal 271 2" xfId="2267"/>
    <cellStyle name="Normal 272" xfId="1459"/>
    <cellStyle name="Normal 272 2" xfId="2268"/>
    <cellStyle name="Normal 273" xfId="1460"/>
    <cellStyle name="Normal 273 2" xfId="2269"/>
    <cellStyle name="Normal 274" xfId="1461"/>
    <cellStyle name="Normal 274 2" xfId="2270"/>
    <cellStyle name="Normal 275" xfId="1462"/>
    <cellStyle name="Normal 275 2" xfId="2271"/>
    <cellStyle name="Normal 276" xfId="1463"/>
    <cellStyle name="Normal 276 2" xfId="2272"/>
    <cellStyle name="Normal 277" xfId="1464"/>
    <cellStyle name="Normal 277 2" xfId="2273"/>
    <cellStyle name="Normal 278" xfId="1465"/>
    <cellStyle name="Normal 278 2" xfId="2274"/>
    <cellStyle name="Normal 279" xfId="1279"/>
    <cellStyle name="Normal 279 2" xfId="1633"/>
    <cellStyle name="Normal 28" xfId="773"/>
    <cellStyle name="Normal 28 2" xfId="1873"/>
    <cellStyle name="Normal 280" xfId="1543"/>
    <cellStyle name="Normal 281" xfId="1542"/>
    <cellStyle name="Normal 282" xfId="1541"/>
    <cellStyle name="Normal 283" xfId="1540"/>
    <cellStyle name="Normal 284" xfId="1539"/>
    <cellStyle name="Normal 285" xfId="1511"/>
    <cellStyle name="Normal 286" xfId="1503"/>
    <cellStyle name="Normal 287" xfId="1502"/>
    <cellStyle name="Normal 288" xfId="1487"/>
    <cellStyle name="Normal 289" xfId="1486"/>
    <cellStyle name="Normal 29" xfId="774"/>
    <cellStyle name="Normal 29 2" xfId="1874"/>
    <cellStyle name="Normal 290" xfId="1395"/>
    <cellStyle name="Normal 290 2" xfId="2211"/>
    <cellStyle name="Normal 291" xfId="1549"/>
    <cellStyle name="Normal 291 2" xfId="2299"/>
    <cellStyle name="Normal 292" xfId="1394"/>
    <cellStyle name="Normal 293" xfId="1393"/>
    <cellStyle name="Normal 294" xfId="1382"/>
    <cellStyle name="Normal 295" xfId="1381"/>
    <cellStyle name="Normal 296" xfId="1376"/>
    <cellStyle name="Normal 297" xfId="1364"/>
    <cellStyle name="Normal 298" xfId="1345"/>
    <cellStyle name="Normal 299" xfId="1324"/>
    <cellStyle name="Normal 299 2" xfId="2205"/>
    <cellStyle name="Normal 3" xfId="775"/>
    <cellStyle name="Normal 3 2" xfId="776"/>
    <cellStyle name="Normal 3 2 2" xfId="777"/>
    <cellStyle name="Normal 3 2 3" xfId="778"/>
    <cellStyle name="Normal 3 2 4" xfId="779"/>
    <cellStyle name="Normal 3 3" xfId="780"/>
    <cellStyle name="Normal 3 3 2" xfId="781"/>
    <cellStyle name="Normal 3 3 2 2" xfId="1466"/>
    <cellStyle name="Normal 3 3 2 3" xfId="1467"/>
    <cellStyle name="Normal 3 3 3" xfId="782"/>
    <cellStyle name="Normal 3 3 3 2" xfId="1876"/>
    <cellStyle name="Normal 3 3 4" xfId="783"/>
    <cellStyle name="Normal 3 3 5" xfId="1875"/>
    <cellStyle name="Normal 3 4" xfId="784"/>
    <cellStyle name="Normal 3 4 2" xfId="785"/>
    <cellStyle name="Normal 3 4 3" xfId="1877"/>
    <cellStyle name="Normal 3 5" xfId="2330"/>
    <cellStyle name="Normal 3 6" xfId="2325"/>
    <cellStyle name="Normal 3_710 CFS; full sustain + full expand (static-like)" xfId="786"/>
    <cellStyle name="Normal 30" xfId="787"/>
    <cellStyle name="Normal 30 2" xfId="1878"/>
    <cellStyle name="Normal 300" xfId="1559"/>
    <cellStyle name="Normal 301" xfId="1558"/>
    <cellStyle name="Normal 302" xfId="1557"/>
    <cellStyle name="Normal 303" xfId="1556"/>
    <cellStyle name="Normal 304" xfId="1555"/>
    <cellStyle name="Normal 305" xfId="1554"/>
    <cellStyle name="Normal 306" xfId="1553"/>
    <cellStyle name="Normal 307" xfId="1552"/>
    <cellStyle name="Normal 308" xfId="1550"/>
    <cellStyle name="Normal 309" xfId="1548"/>
    <cellStyle name="Normal 309 2" xfId="2298"/>
    <cellStyle name="Normal 31" xfId="788"/>
    <cellStyle name="Normal 31 2" xfId="1879"/>
    <cellStyle name="Normal 310" xfId="1562"/>
    <cellStyle name="Normal 311" xfId="1574"/>
    <cellStyle name="Normal 312" xfId="1575"/>
    <cellStyle name="Normal 312 2" xfId="1634"/>
    <cellStyle name="Normal 313" xfId="1576"/>
    <cellStyle name="Normal 313 2" xfId="1635"/>
    <cellStyle name="Normal 314" xfId="1577"/>
    <cellStyle name="Normal 314 2" xfId="1636"/>
    <cellStyle name="Normal 315" xfId="1578"/>
    <cellStyle name="Normal 315 2" xfId="1637"/>
    <cellStyle name="Normal 316" xfId="1563"/>
    <cellStyle name="Normal 316 2" xfId="1638"/>
    <cellStyle name="Normal 317" xfId="1579"/>
    <cellStyle name="Normal 317 2" xfId="1639"/>
    <cellStyle name="Normal 318" xfId="1580"/>
    <cellStyle name="Normal 318 2" xfId="1640"/>
    <cellStyle name="Normal 319" xfId="1581"/>
    <cellStyle name="Normal 319 2" xfId="1641"/>
    <cellStyle name="Normal 32" xfId="789"/>
    <cellStyle name="Normal 32 2" xfId="1880"/>
    <cellStyle name="Normal 320" xfId="1583"/>
    <cellStyle name="Normal 321" xfId="1600"/>
    <cellStyle name="Normal 322" xfId="1603"/>
    <cellStyle name="Normal 322 2" xfId="1642"/>
    <cellStyle name="Normal 323" xfId="1599"/>
    <cellStyle name="Normal 323 2" xfId="1643"/>
    <cellStyle name="Normal 324" xfId="1602"/>
    <cellStyle name="Normal 324 2" xfId="2322"/>
    <cellStyle name="Normal 325" xfId="1604"/>
    <cellStyle name="Normal 325 2" xfId="1645"/>
    <cellStyle name="Normal 326" xfId="1601"/>
    <cellStyle name="Normal 326 2" xfId="1646"/>
    <cellStyle name="Normal 327" xfId="1605"/>
    <cellStyle name="Normal 327 2" xfId="1647"/>
    <cellStyle name="Normal 328" xfId="1606"/>
    <cellStyle name="Normal 328 2" xfId="1648"/>
    <cellStyle name="Normal 329" xfId="1607"/>
    <cellStyle name="Normal 329 2" xfId="1649"/>
    <cellStyle name="Normal 33" xfId="790"/>
    <cellStyle name="Normal 33 2" xfId="1881"/>
    <cellStyle name="Normal 330" xfId="1608"/>
    <cellStyle name="Normal 330 2" xfId="1650"/>
    <cellStyle name="Normal 331" xfId="1609"/>
    <cellStyle name="Normal 331 2" xfId="1651"/>
    <cellStyle name="Normal 332" xfId="1610"/>
    <cellStyle name="Normal 332 2" xfId="1652"/>
    <cellStyle name="Normal 333" xfId="1611"/>
    <cellStyle name="Normal 333 2" xfId="1653"/>
    <cellStyle name="Normal 334" xfId="1612"/>
    <cellStyle name="Normal 334 2" xfId="1654"/>
    <cellStyle name="Normal 335" xfId="1613"/>
    <cellStyle name="Normal 335 2" xfId="2323"/>
    <cellStyle name="Normal 336" xfId="1615"/>
    <cellStyle name="Normal 337" xfId="1617"/>
    <cellStyle name="Normal 338" xfId="1619"/>
    <cellStyle name="Normal 339" xfId="1621"/>
    <cellStyle name="Normal 34" xfId="791"/>
    <cellStyle name="Normal 34 2" xfId="1882"/>
    <cellStyle name="Normal 340" xfId="1623"/>
    <cellStyle name="Normal 341" xfId="1625"/>
    <cellStyle name="Normal 342" xfId="1627"/>
    <cellStyle name="Normal 343" xfId="1628"/>
    <cellStyle name="Normal 344" xfId="1631"/>
    <cellStyle name="Normal 345" xfId="2342"/>
    <cellStyle name="Normal 345 2" xfId="2350"/>
    <cellStyle name="Normal 345 2 2" xfId="2402"/>
    <cellStyle name="Normal 346" xfId="2343"/>
    <cellStyle name="Normal 35" xfId="792"/>
    <cellStyle name="Normal 35 2" xfId="1883"/>
    <cellStyle name="Normal 36" xfId="793"/>
    <cellStyle name="Normal 36 2" xfId="1884"/>
    <cellStyle name="Normal 37" xfId="794"/>
    <cellStyle name="Normal 37 2" xfId="1885"/>
    <cellStyle name="Normal 38" xfId="795"/>
    <cellStyle name="Normal 38 2" xfId="1886"/>
    <cellStyle name="Normal 39" xfId="796"/>
    <cellStyle name="Normal 39 2" xfId="1887"/>
    <cellStyle name="Normal 4" xfId="797"/>
    <cellStyle name="Normal 4 10" xfId="1469"/>
    <cellStyle name="Normal 4 10 2" xfId="2276"/>
    <cellStyle name="Normal 4 11" xfId="1468"/>
    <cellStyle name="Normal 4 11 2" xfId="2275"/>
    <cellStyle name="Normal 4 2" xfId="798"/>
    <cellStyle name="Normal 4 2 2" xfId="799"/>
    <cellStyle name="Normal 4 2 2 2" xfId="800"/>
    <cellStyle name="Normal 4 2 2 2 2" xfId="1470"/>
    <cellStyle name="Normal 4 2 2 2 3" xfId="1471"/>
    <cellStyle name="Normal 4 2 2 3" xfId="801"/>
    <cellStyle name="Normal 4 2 2 4" xfId="1473"/>
    <cellStyle name="Normal 4 2 3" xfId="802"/>
    <cellStyle name="Normal 4 2 3 2" xfId="1474"/>
    <cellStyle name="Normal 4 2 3 3" xfId="1475"/>
    <cellStyle name="Normal 4 2 4" xfId="803"/>
    <cellStyle name="Normal 4 2 5" xfId="1476"/>
    <cellStyle name="Normal 4 2_Federal Interest Calculation Su" xfId="804"/>
    <cellStyle name="Normal 4 3" xfId="805"/>
    <cellStyle name="Normal 4 3 2" xfId="806"/>
    <cellStyle name="Normal 4 3 2 2" xfId="1477"/>
    <cellStyle name="Normal 4 3 2 3" xfId="1478"/>
    <cellStyle name="Normal 4 3 3" xfId="807"/>
    <cellStyle name="Normal 4 3 4" xfId="808"/>
    <cellStyle name="Normal 4 3 5" xfId="1479"/>
    <cellStyle name="Normal 4 3 6" xfId="1480"/>
    <cellStyle name="Normal 4 4" xfId="809"/>
    <cellStyle name="Normal 4 4 2" xfId="810"/>
    <cellStyle name="Normal 4 4 2 2" xfId="1481"/>
    <cellStyle name="Normal 4 4 2 3" xfId="1482"/>
    <cellStyle name="Normal 4 4 3" xfId="811"/>
    <cellStyle name="Normal 4 4 3 2" xfId="1888"/>
    <cellStyle name="Normal 4 4 4" xfId="1483"/>
    <cellStyle name="Normal 4 5" xfId="812"/>
    <cellStyle name="Normal 4 5 2" xfId="1889"/>
    <cellStyle name="Normal 4 6" xfId="813"/>
    <cellStyle name="Normal 4 6 2" xfId="814"/>
    <cellStyle name="Normal 4 6 3" xfId="1890"/>
    <cellStyle name="Normal 4 7" xfId="815"/>
    <cellStyle name="Normal 4 8" xfId="1484"/>
    <cellStyle name="Normal 4 8 2" xfId="2277"/>
    <cellStyle name="Normal 4 9" xfId="1485"/>
    <cellStyle name="Normal 4 9 2" xfId="2278"/>
    <cellStyle name="Normal 4_710 CFS; full sustain + full expand (static-like)" xfId="816"/>
    <cellStyle name="Normal 40" xfId="817"/>
    <cellStyle name="Normal 40 2" xfId="1891"/>
    <cellStyle name="Normal 41" xfId="818"/>
    <cellStyle name="Normal 41 2" xfId="1892"/>
    <cellStyle name="Normal 42" xfId="819"/>
    <cellStyle name="Normal 42 2" xfId="1893"/>
    <cellStyle name="Normal 43" xfId="820"/>
    <cellStyle name="Normal 43 2" xfId="1894"/>
    <cellStyle name="Normal 44" xfId="821"/>
    <cellStyle name="Normal 44 2" xfId="1895"/>
    <cellStyle name="Normal 45" xfId="822"/>
    <cellStyle name="Normal 45 2" xfId="1896"/>
    <cellStyle name="Normal 46" xfId="823"/>
    <cellStyle name="Normal 46 2" xfId="1897"/>
    <cellStyle name="Normal 47" xfId="824"/>
    <cellStyle name="Normal 47 2" xfId="1898"/>
    <cellStyle name="Normal 48" xfId="825"/>
    <cellStyle name="Normal 48 2" xfId="1899"/>
    <cellStyle name="Normal 49" xfId="826"/>
    <cellStyle name="Normal 49 2" xfId="827"/>
    <cellStyle name="Normal 49 3" xfId="828"/>
    <cellStyle name="Normal 49 3 2" xfId="1488"/>
    <cellStyle name="Normal 49 3 3" xfId="1489"/>
    <cellStyle name="Normal 49 4" xfId="829"/>
    <cellStyle name="Normal 5" xfId="830"/>
    <cellStyle name="Normal 5 2" xfId="831"/>
    <cellStyle name="Normal 5 2 2" xfId="832"/>
    <cellStyle name="Normal 5 2 2 2" xfId="1490"/>
    <cellStyle name="Normal 5 2 2 3" xfId="1901"/>
    <cellStyle name="Normal 5 2 3" xfId="1491"/>
    <cellStyle name="Normal 5 3" xfId="833"/>
    <cellStyle name="Normal 5 3 2" xfId="1902"/>
    <cellStyle name="Normal 5 4" xfId="834"/>
    <cellStyle name="Normal 5 5" xfId="1900"/>
    <cellStyle name="Normal 50" xfId="835"/>
    <cellStyle name="Normal 50 2" xfId="836"/>
    <cellStyle name="Normal 50 2 2" xfId="1904"/>
    <cellStyle name="Normal 50 3" xfId="837"/>
    <cellStyle name="Normal 50 3 2" xfId="1905"/>
    <cellStyle name="Normal 50 4" xfId="1903"/>
    <cellStyle name="Normal 51" xfId="838"/>
    <cellStyle name="Normal 51 2" xfId="839"/>
    <cellStyle name="Normal 51 2 2" xfId="1907"/>
    <cellStyle name="Normal 51 3" xfId="840"/>
    <cellStyle name="Normal 51 4" xfId="1906"/>
    <cellStyle name="Normal 52" xfId="841"/>
    <cellStyle name="Normal 52 2" xfId="842"/>
    <cellStyle name="Normal 52 2 2" xfId="1909"/>
    <cellStyle name="Normal 52 3" xfId="843"/>
    <cellStyle name="Normal 52 4" xfId="1908"/>
    <cellStyle name="Normal 53" xfId="844"/>
    <cellStyle name="Normal 53 2" xfId="845"/>
    <cellStyle name="Normal 53 2 2" xfId="1911"/>
    <cellStyle name="Normal 53 3" xfId="1910"/>
    <cellStyle name="Normal 54" xfId="846"/>
    <cellStyle name="Normal 54 2" xfId="1912"/>
    <cellStyle name="Normal 55" xfId="847"/>
    <cellStyle name="Normal 55 2" xfId="848"/>
    <cellStyle name="Normal 55 2 2" xfId="1914"/>
    <cellStyle name="Normal 55 3" xfId="1913"/>
    <cellStyle name="Normal 56" xfId="849"/>
    <cellStyle name="Normal 56 2" xfId="1915"/>
    <cellStyle name="Normal 57" xfId="850"/>
    <cellStyle name="Normal 57 2" xfId="1916"/>
    <cellStyle name="Normal 58" xfId="851"/>
    <cellStyle name="Normal 58 2" xfId="1917"/>
    <cellStyle name="Normal 59" xfId="852"/>
    <cellStyle name="Normal 59 2" xfId="1918"/>
    <cellStyle name="Normal 6" xfId="853"/>
    <cellStyle name="Normal 6 2" xfId="854"/>
    <cellStyle name="Normal 6 2 2" xfId="1492"/>
    <cellStyle name="Normal 6 2 3" xfId="1493"/>
    <cellStyle name="Normal 6 3" xfId="855"/>
    <cellStyle name="Normal 6 3 2" xfId="1920"/>
    <cellStyle name="Normal 6 4" xfId="856"/>
    <cellStyle name="Normal 6 5" xfId="1919"/>
    <cellStyle name="Normal 60" xfId="857"/>
    <cellStyle name="Normal 60 2" xfId="858"/>
    <cellStyle name="Normal 60 2 2" xfId="1922"/>
    <cellStyle name="Normal 60 3" xfId="1921"/>
    <cellStyle name="Normal 61" xfId="859"/>
    <cellStyle name="Normal 61 2" xfId="1923"/>
    <cellStyle name="Normal 62" xfId="860"/>
    <cellStyle name="Normal 62 2" xfId="1924"/>
    <cellStyle name="Normal 63" xfId="861"/>
    <cellStyle name="Normal 63 2" xfId="1925"/>
    <cellStyle name="Normal 64" xfId="862"/>
    <cellStyle name="Normal 64 2" xfId="1926"/>
    <cellStyle name="Normal 65" xfId="863"/>
    <cellStyle name="Normal 65 2" xfId="1927"/>
    <cellStyle name="Normal 66" xfId="864"/>
    <cellStyle name="Normal 66 2" xfId="1928"/>
    <cellStyle name="Normal 67" xfId="865"/>
    <cellStyle name="Normal 67 2" xfId="1929"/>
    <cellStyle name="Normal 68" xfId="866"/>
    <cellStyle name="Normal 68 2" xfId="1930"/>
    <cellStyle name="Normal 69" xfId="867"/>
    <cellStyle name="Normal 69 2" xfId="1931"/>
    <cellStyle name="Normal 7" xfId="868"/>
    <cellStyle name="Normal 7 2" xfId="869"/>
    <cellStyle name="Normal 7 2 2" xfId="1494"/>
    <cellStyle name="Normal 7 2 3" xfId="1495"/>
    <cellStyle name="Normal 7 3" xfId="870"/>
    <cellStyle name="Normal 7 3 2" xfId="1933"/>
    <cellStyle name="Normal 7 4" xfId="871"/>
    <cellStyle name="Normal 7 5" xfId="1932"/>
    <cellStyle name="Normal 70" xfId="872"/>
    <cellStyle name="Normal 70 2" xfId="1934"/>
    <cellStyle name="Normal 71" xfId="873"/>
    <cellStyle name="Normal 71 2" xfId="1935"/>
    <cellStyle name="Normal 72" xfId="874"/>
    <cellStyle name="Normal 72 2" xfId="1936"/>
    <cellStyle name="Normal 73" xfId="875"/>
    <cellStyle name="Normal 73 2" xfId="876"/>
    <cellStyle name="Normal 73 2 2" xfId="1938"/>
    <cellStyle name="Normal 73 3" xfId="1937"/>
    <cellStyle name="Normal 74" xfId="877"/>
    <cellStyle name="Normal 74 2" xfId="878"/>
    <cellStyle name="Normal 74 2 2" xfId="1940"/>
    <cellStyle name="Normal 74 3" xfId="1939"/>
    <cellStyle name="Normal 75" xfId="879"/>
    <cellStyle name="Normal 75 2" xfId="880"/>
    <cellStyle name="Normal 75 2 2" xfId="1942"/>
    <cellStyle name="Normal 75 3" xfId="881"/>
    <cellStyle name="Normal 75 3 2" xfId="1943"/>
    <cellStyle name="Normal 75 4" xfId="1941"/>
    <cellStyle name="Normal 76" xfId="882"/>
    <cellStyle name="Normal 76 2" xfId="883"/>
    <cellStyle name="Normal 76 2 2" xfId="1945"/>
    <cellStyle name="Normal 76 3" xfId="884"/>
    <cellStyle name="Normal 76 3 2" xfId="1946"/>
    <cellStyle name="Normal 76 4" xfId="1944"/>
    <cellStyle name="Normal 77" xfId="885"/>
    <cellStyle name="Normal 77 2" xfId="886"/>
    <cellStyle name="Normal 77 2 2" xfId="1948"/>
    <cellStyle name="Normal 77 3" xfId="887"/>
    <cellStyle name="Normal 77 3 2" xfId="1949"/>
    <cellStyle name="Normal 77 4" xfId="1947"/>
    <cellStyle name="Normal 78" xfId="888"/>
    <cellStyle name="Normal 78 2" xfId="889"/>
    <cellStyle name="Normal 78 2 2" xfId="1951"/>
    <cellStyle name="Normal 78 3" xfId="1950"/>
    <cellStyle name="Normal 79" xfId="890"/>
    <cellStyle name="Normal 79 2" xfId="1952"/>
    <cellStyle name="Normal 8" xfId="891"/>
    <cellStyle name="Normal 8 2" xfId="892"/>
    <cellStyle name="Normal 8 2 2" xfId="1496"/>
    <cellStyle name="Normal 8 2 3" xfId="1497"/>
    <cellStyle name="Normal 8 3" xfId="893"/>
    <cellStyle name="Normal 8 3 2" xfId="1954"/>
    <cellStyle name="Normal 8 4" xfId="894"/>
    <cellStyle name="Normal 8 5" xfId="1953"/>
    <cellStyle name="Normal 80" xfId="895"/>
    <cellStyle name="Normal 80 2" xfId="1955"/>
    <cellStyle name="Normal 81" xfId="896"/>
    <cellStyle name="Normal 81 2" xfId="1956"/>
    <cellStyle name="Normal 82" xfId="897"/>
    <cellStyle name="Normal 82 2" xfId="1957"/>
    <cellStyle name="Normal 83" xfId="898"/>
    <cellStyle name="Normal 83 2" xfId="1958"/>
    <cellStyle name="Normal 84" xfId="899"/>
    <cellStyle name="Normal 84 2" xfId="1959"/>
    <cellStyle name="Normal 85" xfId="900"/>
    <cellStyle name="Normal 85 2" xfId="1960"/>
    <cellStyle name="Normal 86" xfId="901"/>
    <cellStyle name="Normal 86 2" xfId="1961"/>
    <cellStyle name="Normal 87" xfId="902"/>
    <cellStyle name="Normal 87 2" xfId="1962"/>
    <cellStyle name="Normal 88" xfId="903"/>
    <cellStyle name="Normal 88 2" xfId="1963"/>
    <cellStyle name="Normal 89" xfId="904"/>
    <cellStyle name="Normal 89 2" xfId="1964"/>
    <cellStyle name="Normal 9" xfId="905"/>
    <cellStyle name="Normal 9 2" xfId="906"/>
    <cellStyle name="Normal 9 2 2" xfId="1966"/>
    <cellStyle name="Normal 9 3" xfId="907"/>
    <cellStyle name="Normal 9 4" xfId="1965"/>
    <cellStyle name="Normal 90" xfId="908"/>
    <cellStyle name="Normal 90 2" xfId="1967"/>
    <cellStyle name="Normal 91" xfId="909"/>
    <cellStyle name="Normal 91 2" xfId="1968"/>
    <cellStyle name="Normal 92" xfId="910"/>
    <cellStyle name="Normal 92 2" xfId="1969"/>
    <cellStyle name="Normal 93" xfId="911"/>
    <cellStyle name="Normal 93 2" xfId="1970"/>
    <cellStyle name="Normal 94" xfId="912"/>
    <cellStyle name="Normal 94 2" xfId="1971"/>
    <cellStyle name="Normal 95" xfId="913"/>
    <cellStyle name="Normal 95 2" xfId="1972"/>
    <cellStyle name="Normal 96" xfId="914"/>
    <cellStyle name="Normal 96 2" xfId="1973"/>
    <cellStyle name="Normal 97" xfId="915"/>
    <cellStyle name="Normal 97 2" xfId="1974"/>
    <cellStyle name="Normal 98" xfId="916"/>
    <cellStyle name="Normal 98 2" xfId="1975"/>
    <cellStyle name="Normal 99" xfId="917"/>
    <cellStyle name="Normal 99 2" xfId="1976"/>
    <cellStyle name="Note 2" xfId="918"/>
    <cellStyle name="Note 2 2" xfId="919"/>
    <cellStyle name="Note 2 2 2" xfId="1978"/>
    <cellStyle name="Note 2 3" xfId="920"/>
    <cellStyle name="Note 2 3 2" xfId="1979"/>
    <cellStyle name="Note 2 4" xfId="921"/>
    <cellStyle name="Note 2 4 2" xfId="1980"/>
    <cellStyle name="Note 2 5" xfId="1977"/>
    <cellStyle name="Note 2_QC" xfId="922"/>
    <cellStyle name="Note 3" xfId="923"/>
    <cellStyle name="Note 3 2" xfId="924"/>
    <cellStyle name="Note 3 2 2" xfId="1498"/>
    <cellStyle name="Note 3 2 3" xfId="1499"/>
    <cellStyle name="Note 3 3" xfId="1981"/>
    <cellStyle name="Note 4" xfId="1500"/>
    <cellStyle name="Note 4 2" xfId="2279"/>
    <cellStyle name="Output 2" xfId="925"/>
    <cellStyle name="Output 2 2" xfId="926"/>
    <cellStyle name="Output 2 2 2" xfId="927"/>
    <cellStyle name="Output 2 2 3" xfId="928"/>
    <cellStyle name="Output 2 2 4" xfId="929"/>
    <cellStyle name="Output 2 3" xfId="930"/>
    <cellStyle name="Output 2 4" xfId="931"/>
    <cellStyle name="Output 2 5" xfId="932"/>
    <cellStyle name="Output 2_QC" xfId="933"/>
    <cellStyle name="Output 3" xfId="934"/>
    <cellStyle name="Output 4" xfId="1501"/>
    <cellStyle name="Page Number" xfId="935"/>
    <cellStyle name="Percen - Style2" xfId="936"/>
    <cellStyle name="Percent" xfId="1582" builtinId="5"/>
    <cellStyle name="Percent [2]" xfId="938"/>
    <cellStyle name="Percent [2] 2" xfId="1982"/>
    <cellStyle name="Percent 10" xfId="939"/>
    <cellStyle name="Percent 10 2" xfId="940"/>
    <cellStyle name="Percent 10 2 2" xfId="1984"/>
    <cellStyle name="Percent 10 3" xfId="941"/>
    <cellStyle name="Percent 10 3 2" xfId="1985"/>
    <cellStyle name="Percent 10 4" xfId="1983"/>
    <cellStyle name="Percent 100" xfId="942"/>
    <cellStyle name="Percent 100 2" xfId="943"/>
    <cellStyle name="Percent 100 2 2" xfId="1987"/>
    <cellStyle name="Percent 100 3" xfId="1986"/>
    <cellStyle name="Percent 101" xfId="944"/>
    <cellStyle name="Percent 101 2" xfId="945"/>
    <cellStyle name="Percent 101 2 2" xfId="1989"/>
    <cellStyle name="Percent 101 3" xfId="1988"/>
    <cellStyle name="Percent 102" xfId="946"/>
    <cellStyle name="Percent 102 2" xfId="947"/>
    <cellStyle name="Percent 102 2 2" xfId="1991"/>
    <cellStyle name="Percent 102 3" xfId="1990"/>
    <cellStyle name="Percent 103" xfId="948"/>
    <cellStyle name="Percent 103 2" xfId="949"/>
    <cellStyle name="Percent 103 2 2" xfId="1993"/>
    <cellStyle name="Percent 103 3" xfId="1992"/>
    <cellStyle name="Percent 104" xfId="950"/>
    <cellStyle name="Percent 104 2" xfId="951"/>
    <cellStyle name="Percent 104 2 2" xfId="1995"/>
    <cellStyle name="Percent 104 3" xfId="1994"/>
    <cellStyle name="Percent 105" xfId="952"/>
    <cellStyle name="Percent 105 2" xfId="953"/>
    <cellStyle name="Percent 105 2 2" xfId="1997"/>
    <cellStyle name="Percent 105 3" xfId="1996"/>
    <cellStyle name="Percent 106" xfId="954"/>
    <cellStyle name="Percent 106 2" xfId="1998"/>
    <cellStyle name="Percent 107" xfId="955"/>
    <cellStyle name="Percent 107 2" xfId="1999"/>
    <cellStyle name="Percent 108" xfId="956"/>
    <cellStyle name="Percent 108 2" xfId="2000"/>
    <cellStyle name="Percent 109" xfId="957"/>
    <cellStyle name="Percent 109 2" xfId="2001"/>
    <cellStyle name="Percent 11" xfId="958"/>
    <cellStyle name="Percent 11 2" xfId="959"/>
    <cellStyle name="Percent 11 2 2" xfId="2003"/>
    <cellStyle name="Percent 11 3" xfId="960"/>
    <cellStyle name="Percent 11 3 2" xfId="2004"/>
    <cellStyle name="Percent 11 4" xfId="2002"/>
    <cellStyle name="Percent 110" xfId="961"/>
    <cellStyle name="Percent 110 2" xfId="2005"/>
    <cellStyle name="Percent 111" xfId="962"/>
    <cellStyle name="Percent 111 2" xfId="2006"/>
    <cellStyle name="Percent 112" xfId="963"/>
    <cellStyle name="Percent 112 2" xfId="2007"/>
    <cellStyle name="Percent 113" xfId="964"/>
    <cellStyle name="Percent 113 2" xfId="2008"/>
    <cellStyle name="Percent 114" xfId="965"/>
    <cellStyle name="Percent 115" xfId="966"/>
    <cellStyle name="Percent 116" xfId="967"/>
    <cellStyle name="Percent 116 2" xfId="2009"/>
    <cellStyle name="Percent 117" xfId="968"/>
    <cellStyle name="Percent 117 2" xfId="2010"/>
    <cellStyle name="Percent 118" xfId="969"/>
    <cellStyle name="Percent 118 2" xfId="2011"/>
    <cellStyle name="Percent 119" xfId="970"/>
    <cellStyle name="Percent 119 2" xfId="2012"/>
    <cellStyle name="Percent 12" xfId="971"/>
    <cellStyle name="Percent 12 2" xfId="2013"/>
    <cellStyle name="Percent 120" xfId="972"/>
    <cellStyle name="Percent 120 2" xfId="2014"/>
    <cellStyle name="Percent 121" xfId="973"/>
    <cellStyle name="Percent 121 2" xfId="2015"/>
    <cellStyle name="Percent 122" xfId="974"/>
    <cellStyle name="Percent 122 2" xfId="2016"/>
    <cellStyle name="Percent 123" xfId="975"/>
    <cellStyle name="Percent 123 2" xfId="2017"/>
    <cellStyle name="Percent 124" xfId="976"/>
    <cellStyle name="Percent 124 2" xfId="2018"/>
    <cellStyle name="Percent 125" xfId="977"/>
    <cellStyle name="Percent 125 2" xfId="2019"/>
    <cellStyle name="Percent 126" xfId="978"/>
    <cellStyle name="Percent 126 2" xfId="2020"/>
    <cellStyle name="Percent 127" xfId="979"/>
    <cellStyle name="Percent 127 2" xfId="2021"/>
    <cellStyle name="Percent 128" xfId="980"/>
    <cellStyle name="Percent 128 2" xfId="2022"/>
    <cellStyle name="Percent 129" xfId="981"/>
    <cellStyle name="Percent 129 2" xfId="2023"/>
    <cellStyle name="Percent 13" xfId="982"/>
    <cellStyle name="Percent 13 2" xfId="983"/>
    <cellStyle name="Percent 13 2 2" xfId="2025"/>
    <cellStyle name="Percent 13 3" xfId="2024"/>
    <cellStyle name="Percent 130" xfId="984"/>
    <cellStyle name="Percent 130 2" xfId="2026"/>
    <cellStyle name="Percent 131" xfId="985"/>
    <cellStyle name="Percent 131 2" xfId="2027"/>
    <cellStyle name="Percent 132" xfId="986"/>
    <cellStyle name="Percent 132 2" xfId="987"/>
    <cellStyle name="Percent 132 2 2" xfId="2029"/>
    <cellStyle name="Percent 132 3" xfId="2028"/>
    <cellStyle name="Percent 133" xfId="988"/>
    <cellStyle name="Percent 133 2" xfId="989"/>
    <cellStyle name="Percent 133 2 2" xfId="2031"/>
    <cellStyle name="Percent 133 3" xfId="2030"/>
    <cellStyle name="Percent 134" xfId="990"/>
    <cellStyle name="Percent 134 2" xfId="991"/>
    <cellStyle name="Percent 134 2 2" xfId="2033"/>
    <cellStyle name="Percent 134 3" xfId="2032"/>
    <cellStyle name="Percent 135" xfId="992"/>
    <cellStyle name="Percent 135 2" xfId="993"/>
    <cellStyle name="Percent 135 3" xfId="994"/>
    <cellStyle name="Percent 135 3 2" xfId="1504"/>
    <cellStyle name="Percent 135 3 3" xfId="1505"/>
    <cellStyle name="Percent 136" xfId="995"/>
    <cellStyle name="Percent 136 2" xfId="2034"/>
    <cellStyle name="Percent 137" xfId="996"/>
    <cellStyle name="Percent 137 2" xfId="2035"/>
    <cellStyle name="Percent 138" xfId="997"/>
    <cellStyle name="Percent 138 2" xfId="2036"/>
    <cellStyle name="Percent 139" xfId="998"/>
    <cellStyle name="Percent 139 2" xfId="2037"/>
    <cellStyle name="Percent 14" xfId="999"/>
    <cellStyle name="Percent 14 2" xfId="2038"/>
    <cellStyle name="Percent 140" xfId="1000"/>
    <cellStyle name="Percent 140 2" xfId="2039"/>
    <cellStyle name="Percent 141" xfId="1001"/>
    <cellStyle name="Percent 141 2" xfId="2040"/>
    <cellStyle name="Percent 142" xfId="1002"/>
    <cellStyle name="Percent 143" xfId="1003"/>
    <cellStyle name="Percent 144" xfId="1004"/>
    <cellStyle name="Percent 145" xfId="1005"/>
    <cellStyle name="Percent 145 2" xfId="1006"/>
    <cellStyle name="Percent 145 2 2" xfId="1007"/>
    <cellStyle name="Percent 145 3" xfId="1008"/>
    <cellStyle name="Percent 145 3 2" xfId="2042"/>
    <cellStyle name="Percent 145 4" xfId="1009"/>
    <cellStyle name="Percent 145 4 2" xfId="1506"/>
    <cellStyle name="Percent 145 4 3" xfId="1507"/>
    <cellStyle name="Percent 145 5" xfId="2041"/>
    <cellStyle name="Percent 146" xfId="1010"/>
    <cellStyle name="Percent 146 2" xfId="2043"/>
    <cellStyle name="Percent 147" xfId="1011"/>
    <cellStyle name="Percent 147 2" xfId="1012"/>
    <cellStyle name="Percent 148" xfId="1013"/>
    <cellStyle name="Percent 148 2" xfId="1014"/>
    <cellStyle name="Percent 149" xfId="1015"/>
    <cellStyle name="Percent 149 2" xfId="1016"/>
    <cellStyle name="Percent 15" xfId="1017"/>
    <cellStyle name="Percent 15 2" xfId="2044"/>
    <cellStyle name="Percent 150" xfId="1018"/>
    <cellStyle name="Percent 150 2" xfId="1019"/>
    <cellStyle name="Percent 151" xfId="1020"/>
    <cellStyle name="Percent 151 2" xfId="2045"/>
    <cellStyle name="Percent 152" xfId="1021"/>
    <cellStyle name="Percent 152 2" xfId="2046"/>
    <cellStyle name="Percent 153" xfId="1022"/>
    <cellStyle name="Percent 153 2" xfId="2047"/>
    <cellStyle name="Percent 154" xfId="1023"/>
    <cellStyle name="Percent 154 2" xfId="2048"/>
    <cellStyle name="Percent 155" xfId="1024"/>
    <cellStyle name="Percent 155 2" xfId="2049"/>
    <cellStyle name="Percent 156" xfId="1025"/>
    <cellStyle name="Percent 156 2" xfId="2050"/>
    <cellStyle name="Percent 157" xfId="1026"/>
    <cellStyle name="Percent 157 2" xfId="2051"/>
    <cellStyle name="Percent 158" xfId="1027"/>
    <cellStyle name="Percent 158 2" xfId="2052"/>
    <cellStyle name="Percent 159" xfId="1028"/>
    <cellStyle name="Percent 159 2" xfId="2053"/>
    <cellStyle name="Percent 16" xfId="1029"/>
    <cellStyle name="Percent 16 2" xfId="2054"/>
    <cellStyle name="Percent 160" xfId="1030"/>
    <cellStyle name="Percent 160 2" xfId="2055"/>
    <cellStyle name="Percent 161" xfId="1031"/>
    <cellStyle name="Percent 161 2" xfId="2056"/>
    <cellStyle name="Percent 162" xfId="1032"/>
    <cellStyle name="Percent 162 2" xfId="2057"/>
    <cellStyle name="Percent 163" xfId="1033"/>
    <cellStyle name="Percent 164" xfId="1034"/>
    <cellStyle name="Percent 164 2" xfId="2058"/>
    <cellStyle name="Percent 165" xfId="1035"/>
    <cellStyle name="Percent 166" xfId="1036"/>
    <cellStyle name="Percent 166 2" xfId="1508"/>
    <cellStyle name="Percent 166 2 2" xfId="2280"/>
    <cellStyle name="Percent 166 3" xfId="2059"/>
    <cellStyle name="Percent 167" xfId="1037"/>
    <cellStyle name="Percent 167 2" xfId="2060"/>
    <cellStyle name="Percent 168" xfId="1038"/>
    <cellStyle name="Percent 168 2" xfId="1509"/>
    <cellStyle name="Percent 168 2 2" xfId="2281"/>
    <cellStyle name="Percent 168 3" xfId="2061"/>
    <cellStyle name="Percent 169" xfId="1039"/>
    <cellStyle name="Percent 169 2" xfId="1510"/>
    <cellStyle name="Percent 169 2 2" xfId="2282"/>
    <cellStyle name="Percent 169 3" xfId="2062"/>
    <cellStyle name="Percent 17" xfId="1040"/>
    <cellStyle name="Percent 17 2" xfId="2063"/>
    <cellStyle name="Percent 170" xfId="1041"/>
    <cellStyle name="Percent 170 2" xfId="2064"/>
    <cellStyle name="Percent 171" xfId="1042"/>
    <cellStyle name="Percent 171 2" xfId="2065"/>
    <cellStyle name="Percent 172" xfId="1043"/>
    <cellStyle name="Percent 172 2" xfId="2066"/>
    <cellStyle name="Percent 173" xfId="1044"/>
    <cellStyle name="Percent 173 2" xfId="2067"/>
    <cellStyle name="Percent 174" xfId="1045"/>
    <cellStyle name="Percent 174 2" xfId="2068"/>
    <cellStyle name="Percent 175" xfId="1046"/>
    <cellStyle name="Percent 175 2" xfId="2069"/>
    <cellStyle name="Percent 176" xfId="1047"/>
    <cellStyle name="Percent 176 2" xfId="2070"/>
    <cellStyle name="Percent 177" xfId="1048"/>
    <cellStyle name="Percent 177 2" xfId="2071"/>
    <cellStyle name="Percent 178" xfId="937"/>
    <cellStyle name="Percent 178 2" xfId="1512"/>
    <cellStyle name="Percent 178 2 2" xfId="2283"/>
    <cellStyle name="Percent 179" xfId="1472"/>
    <cellStyle name="Percent 179 2" xfId="1513"/>
    <cellStyle name="Percent 179 2 2" xfId="2284"/>
    <cellStyle name="Percent 18" xfId="1049"/>
    <cellStyle name="Percent 18 2" xfId="1050"/>
    <cellStyle name="Percent 18 3" xfId="1051"/>
    <cellStyle name="Percent 18 3 2" xfId="1052"/>
    <cellStyle name="Percent 18 3 3" xfId="1053"/>
    <cellStyle name="Percent 18 3 3 2" xfId="1514"/>
    <cellStyle name="Percent 18 3 3 3" xfId="1515"/>
    <cellStyle name="Percent 18 4" xfId="1054"/>
    <cellStyle name="Percent 180" xfId="1310"/>
    <cellStyle name="Percent 180 2" xfId="1516"/>
    <cellStyle name="Percent 180 2 2" xfId="2285"/>
    <cellStyle name="Percent 181" xfId="1517"/>
    <cellStyle name="Percent 181 2" xfId="2286"/>
    <cellStyle name="Percent 182" xfId="1518"/>
    <cellStyle name="Percent 182 2" xfId="2287"/>
    <cellStyle name="Percent 183" xfId="1519"/>
    <cellStyle name="Percent 184" xfId="1520"/>
    <cellStyle name="Percent 184 2" xfId="2288"/>
    <cellStyle name="Percent 185" xfId="1521"/>
    <cellStyle name="Percent 185 2" xfId="2289"/>
    <cellStyle name="Percent 186" xfId="1522"/>
    <cellStyle name="Percent 186 2" xfId="2290"/>
    <cellStyle name="Percent 187" xfId="1523"/>
    <cellStyle name="Percent 187 2" xfId="2291"/>
    <cellStyle name="Percent 188" xfId="1524"/>
    <cellStyle name="Percent 188 2" xfId="2292"/>
    <cellStyle name="Percent 189" xfId="1525"/>
    <cellStyle name="Percent 189 2" xfId="2293"/>
    <cellStyle name="Percent 19" xfId="1055"/>
    <cellStyle name="Percent 19 2" xfId="2072"/>
    <cellStyle name="Percent 190" xfId="1526"/>
    <cellStyle name="Percent 190 2" xfId="2294"/>
    <cellStyle name="Percent 191" xfId="1527"/>
    <cellStyle name="Percent 191 2" xfId="2295"/>
    <cellStyle name="Percent 192" xfId="1528"/>
    <cellStyle name="Percent 192 2" xfId="2296"/>
    <cellStyle name="Percent 193" xfId="1547"/>
    <cellStyle name="Percent 193 2" xfId="2297"/>
    <cellStyle name="Percent 194" xfId="1331"/>
    <cellStyle name="Percent 194 2" xfId="2207"/>
    <cellStyle name="Percent 195" xfId="1551"/>
    <cellStyle name="Percent 195 2" xfId="2300"/>
    <cellStyle name="Percent 196" xfId="1569"/>
    <cellStyle name="Percent 197" xfId="1566"/>
    <cellStyle name="Percent 198" xfId="1570"/>
    <cellStyle name="Percent 198 2" xfId="2305"/>
    <cellStyle name="Percent 199" xfId="1565"/>
    <cellStyle name="Percent 199 2" xfId="2302"/>
    <cellStyle name="Percent 2" xfId="1056"/>
    <cellStyle name="Percent 2 2" xfId="1057"/>
    <cellStyle name="Percent 2 2 2" xfId="1058"/>
    <cellStyle name="Percent 2 2 2 2" xfId="1059"/>
    <cellStyle name="Percent 2 2 2 2 2" xfId="1060"/>
    <cellStyle name="Percent 2 2 2 2 3" xfId="1061"/>
    <cellStyle name="Percent 2 2 2 2 3 2" xfId="1529"/>
    <cellStyle name="Percent 2 2 2 2 3 3" xfId="1530"/>
    <cellStyle name="Percent 2 2 2 3" xfId="1062"/>
    <cellStyle name="Percent 2 2 2 4" xfId="1063"/>
    <cellStyle name="Percent 2 2 2 4 2" xfId="1531"/>
    <cellStyle name="Percent 2 2 2 4 3" xfId="1532"/>
    <cellStyle name="Percent 2 2 2 5" xfId="1064"/>
    <cellStyle name="Percent 2 2 2 5 2" xfId="1533"/>
    <cellStyle name="Percent 2 2 3" xfId="1065"/>
    <cellStyle name="Percent 2 2 3 2" xfId="1066"/>
    <cellStyle name="Percent 2 2 4" xfId="1067"/>
    <cellStyle name="Percent 2 2 4 2" xfId="1068"/>
    <cellStyle name="Percent 2 2 5" xfId="1069"/>
    <cellStyle name="Percent 2 2 5 2" xfId="1070"/>
    <cellStyle name="Percent 2 2 5 3" xfId="1071"/>
    <cellStyle name="Percent 2 2 5 3 2" xfId="1534"/>
    <cellStyle name="Percent 2 2 5 3 3" xfId="1535"/>
    <cellStyle name="Percent 2 2 6" xfId="1072"/>
    <cellStyle name="Percent 2 2 7" xfId="2382"/>
    <cellStyle name="Percent 2 3" xfId="1073"/>
    <cellStyle name="Percent 2 3 2" xfId="2074"/>
    <cellStyle name="Percent 2 4" xfId="2073"/>
    <cellStyle name="Percent 20" xfId="1074"/>
    <cellStyle name="Percent 20 2" xfId="1075"/>
    <cellStyle name="Percent 20 3" xfId="1076"/>
    <cellStyle name="Percent 20 3 2" xfId="1077"/>
    <cellStyle name="Percent 20 3 3" xfId="1078"/>
    <cellStyle name="Percent 20 3 3 2" xfId="1536"/>
    <cellStyle name="Percent 20 3 3 3" xfId="1537"/>
    <cellStyle name="Percent 20 4" xfId="1079"/>
    <cellStyle name="Percent 200" xfId="1571"/>
    <cellStyle name="Percent 200 2" xfId="2306"/>
    <cellStyle name="Percent 201" xfId="1564"/>
    <cellStyle name="Percent 201 2" xfId="2301"/>
    <cellStyle name="Percent 202" xfId="1572"/>
    <cellStyle name="Percent 202 2" xfId="2307"/>
    <cellStyle name="Percent 203" xfId="1568"/>
    <cellStyle name="Percent 203 2" xfId="2304"/>
    <cellStyle name="Percent 204" xfId="1573"/>
    <cellStyle name="Percent 204 2" xfId="2308"/>
    <cellStyle name="Percent 205" xfId="1567"/>
    <cellStyle name="Percent 205 2" xfId="2303"/>
    <cellStyle name="Percent 206" xfId="1598"/>
    <cellStyle name="Percent 207" xfId="1585"/>
    <cellStyle name="Percent 208" xfId="1591"/>
    <cellStyle name="Percent 208 2" xfId="2315"/>
    <cellStyle name="Percent 209" xfId="1584"/>
    <cellStyle name="Percent 209 2" xfId="2309"/>
    <cellStyle name="Percent 21" xfId="1080"/>
    <cellStyle name="Percent 21 2" xfId="2075"/>
    <cellStyle name="Percent 210" xfId="1592"/>
    <cellStyle name="Percent 210 2" xfId="2316"/>
    <cellStyle name="Percent 211" xfId="1586"/>
    <cellStyle name="Percent 211 2" xfId="2310"/>
    <cellStyle name="Percent 212" xfId="1593"/>
    <cellStyle name="Percent 212 2" xfId="2317"/>
    <cellStyle name="Percent 213" xfId="1589"/>
    <cellStyle name="Percent 213 2" xfId="2313"/>
    <cellStyle name="Percent 214" xfId="1594"/>
    <cellStyle name="Percent 214 2" xfId="2318"/>
    <cellStyle name="Percent 215" xfId="1590"/>
    <cellStyle name="Percent 215 2" xfId="2314"/>
    <cellStyle name="Percent 216" xfId="1595"/>
    <cellStyle name="Percent 216 2" xfId="2319"/>
    <cellStyle name="Percent 217" xfId="1588"/>
    <cellStyle name="Percent 217 2" xfId="2312"/>
    <cellStyle name="Percent 218" xfId="1596"/>
    <cellStyle name="Percent 218 2" xfId="2320"/>
    <cellStyle name="Percent 219" xfId="1587"/>
    <cellStyle name="Percent 219 2" xfId="2311"/>
    <cellStyle name="Percent 22" xfId="1081"/>
    <cellStyle name="Percent 22 2" xfId="2076"/>
    <cellStyle name="Percent 220" xfId="1597"/>
    <cellStyle name="Percent 220 2" xfId="2321"/>
    <cellStyle name="Percent 221" xfId="1614"/>
    <cellStyle name="Percent 221 2" xfId="2324"/>
    <cellStyle name="Percent 222" xfId="1616"/>
    <cellStyle name="Percent 223" xfId="1618"/>
    <cellStyle name="Percent 224" xfId="1620"/>
    <cellStyle name="Percent 225" xfId="1622"/>
    <cellStyle name="Percent 226" xfId="1624"/>
    <cellStyle name="Percent 227" xfId="1626"/>
    <cellStyle name="Percent 228" xfId="1629"/>
    <cellStyle name="Percent 229" xfId="1630"/>
    <cellStyle name="Percent 23" xfId="1082"/>
    <cellStyle name="Percent 23 2" xfId="2077"/>
    <cellStyle name="Percent 230" xfId="1632"/>
    <cellStyle name="Percent 231" xfId="2344"/>
    <cellStyle name="Percent 232" xfId="2345"/>
    <cellStyle name="Percent 24" xfId="1083"/>
    <cellStyle name="Percent 24 2" xfId="2078"/>
    <cellStyle name="Percent 25" xfId="1084"/>
    <cellStyle name="Percent 25 2" xfId="2079"/>
    <cellStyle name="Percent 26" xfId="1085"/>
    <cellStyle name="Percent 26 2" xfId="2080"/>
    <cellStyle name="Percent 27" xfId="1086"/>
    <cellStyle name="Percent 27 2" xfId="2081"/>
    <cellStyle name="Percent 28" xfId="1087"/>
    <cellStyle name="Percent 28 2" xfId="2082"/>
    <cellStyle name="Percent 29" xfId="1088"/>
    <cellStyle name="Percent 29 2" xfId="2083"/>
    <cellStyle name="Percent 3" xfId="1089"/>
    <cellStyle name="Percent 3 2" xfId="1090"/>
    <cellStyle name="Percent 3 2 2" xfId="1091"/>
    <cellStyle name="Percent 3 2 2 2" xfId="2086"/>
    <cellStyle name="Percent 3 2 3" xfId="1092"/>
    <cellStyle name="Percent 3 2 3 2" xfId="2087"/>
    <cellStyle name="Percent 3 2 4" xfId="1093"/>
    <cellStyle name="Percent 3 2 4 2" xfId="1094"/>
    <cellStyle name="Percent 3 2 4 3" xfId="1095"/>
    <cellStyle name="Percent 3 2 5" xfId="1096"/>
    <cellStyle name="Percent 3 2 6" xfId="2085"/>
    <cellStyle name="Percent 3 3" xfId="1097"/>
    <cellStyle name="Percent 3 4" xfId="2084"/>
    <cellStyle name="Percent 3 5" xfId="2404"/>
    <cellStyle name="Percent 30" xfId="1098"/>
    <cellStyle name="Percent 30 2" xfId="1099"/>
    <cellStyle name="Percent 30 2 2" xfId="2089"/>
    <cellStyle name="Percent 30 3" xfId="2088"/>
    <cellStyle name="Percent 31" xfId="1100"/>
    <cellStyle name="Percent 31 2" xfId="1101"/>
    <cellStyle name="Percent 31 2 2" xfId="2091"/>
    <cellStyle name="Percent 31 3" xfId="2090"/>
    <cellStyle name="Percent 32" xfId="1102"/>
    <cellStyle name="Percent 32 2" xfId="1103"/>
    <cellStyle name="Percent 32 2 2" xfId="2093"/>
    <cellStyle name="Percent 32 3" xfId="2092"/>
    <cellStyle name="Percent 33" xfId="1104"/>
    <cellStyle name="Percent 33 2" xfId="1105"/>
    <cellStyle name="Percent 33 2 2" xfId="2095"/>
    <cellStyle name="Percent 33 3" xfId="2094"/>
    <cellStyle name="Percent 34" xfId="1106"/>
    <cellStyle name="Percent 34 2" xfId="2096"/>
    <cellStyle name="Percent 35" xfId="1107"/>
    <cellStyle name="Percent 35 2" xfId="1108"/>
    <cellStyle name="Percent 35 2 2" xfId="2098"/>
    <cellStyle name="Percent 35 3" xfId="1109"/>
    <cellStyle name="Percent 35 3 2" xfId="2099"/>
    <cellStyle name="Percent 35 4" xfId="2097"/>
    <cellStyle name="Percent 36" xfId="1110"/>
    <cellStyle name="Percent 36 2" xfId="1111"/>
    <cellStyle name="Percent 36 2 2" xfId="2101"/>
    <cellStyle name="Percent 36 3" xfId="1112"/>
    <cellStyle name="Percent 36 3 2" xfId="2102"/>
    <cellStyle name="Percent 36 4" xfId="2100"/>
    <cellStyle name="Percent 37" xfId="1113"/>
    <cellStyle name="Percent 37 2" xfId="1114"/>
    <cellStyle name="Percent 37 2 2" xfId="2104"/>
    <cellStyle name="Percent 37 3" xfId="2103"/>
    <cellStyle name="Percent 38" xfId="1115"/>
    <cellStyle name="Percent 38 2" xfId="2105"/>
    <cellStyle name="Percent 39" xfId="1116"/>
    <cellStyle name="Percent 39 2" xfId="2106"/>
    <cellStyle name="Percent 4" xfId="1117"/>
    <cellStyle name="Percent 4 2" xfId="1118"/>
    <cellStyle name="Percent 4 3" xfId="2107"/>
    <cellStyle name="Percent 4 4" xfId="2335"/>
    <cellStyle name="Percent 4 5" xfId="2326"/>
    <cellStyle name="Percent 40" xfId="1119"/>
    <cellStyle name="Percent 40 2" xfId="1120"/>
    <cellStyle name="Percent 40 2 2" xfId="2109"/>
    <cellStyle name="Percent 40 3" xfId="2108"/>
    <cellStyle name="Percent 41" xfId="1121"/>
    <cellStyle name="Percent 41 2" xfId="2110"/>
    <cellStyle name="Percent 42" xfId="1122"/>
    <cellStyle name="Percent 42 2" xfId="2111"/>
    <cellStyle name="Percent 43" xfId="1123"/>
    <cellStyle name="Percent 43 2" xfId="2112"/>
    <cellStyle name="Percent 44" xfId="1124"/>
    <cellStyle name="Percent 44 2" xfId="2113"/>
    <cellStyle name="Percent 45" xfId="1125"/>
    <cellStyle name="Percent 45 2" xfId="1126"/>
    <cellStyle name="Percent 45 2 2" xfId="2115"/>
    <cellStyle name="Percent 45 3" xfId="2114"/>
    <cellStyle name="Percent 46" xfId="1127"/>
    <cellStyle name="Percent 46 2" xfId="2116"/>
    <cellStyle name="Percent 47" xfId="1128"/>
    <cellStyle name="Percent 47 2" xfId="2117"/>
    <cellStyle name="Percent 48" xfId="1129"/>
    <cellStyle name="Percent 48 2" xfId="2118"/>
    <cellStyle name="Percent 49" xfId="1130"/>
    <cellStyle name="Percent 49 2" xfId="2119"/>
    <cellStyle name="Percent 5" xfId="1131"/>
    <cellStyle name="Percent 5 2" xfId="2120"/>
    <cellStyle name="Percent 50" xfId="1132"/>
    <cellStyle name="Percent 50 2" xfId="2121"/>
    <cellStyle name="Percent 51" xfId="1133"/>
    <cellStyle name="Percent 51 2" xfId="2122"/>
    <cellStyle name="Percent 52" xfId="1134"/>
    <cellStyle name="Percent 52 2" xfId="1135"/>
    <cellStyle name="Percent 52 2 2" xfId="2124"/>
    <cellStyle name="Percent 52 3" xfId="2123"/>
    <cellStyle name="Percent 53" xfId="1136"/>
    <cellStyle name="Percent 53 2" xfId="1137"/>
    <cellStyle name="Percent 53 2 2" xfId="2126"/>
    <cellStyle name="Percent 53 3" xfId="2125"/>
    <cellStyle name="Percent 54" xfId="1138"/>
    <cellStyle name="Percent 54 2" xfId="1139"/>
    <cellStyle name="Percent 54 2 2" xfId="2128"/>
    <cellStyle name="Percent 54 3" xfId="2127"/>
    <cellStyle name="Percent 55" xfId="1140"/>
    <cellStyle name="Percent 55 2" xfId="1141"/>
    <cellStyle name="Percent 55 2 2" xfId="2130"/>
    <cellStyle name="Percent 55 3" xfId="2129"/>
    <cellStyle name="Percent 56" xfId="1142"/>
    <cellStyle name="Percent 56 2" xfId="2131"/>
    <cellStyle name="Percent 57" xfId="1143"/>
    <cellStyle name="Percent 57 2" xfId="2132"/>
    <cellStyle name="Percent 58" xfId="1144"/>
    <cellStyle name="Percent 58 2" xfId="2133"/>
    <cellStyle name="Percent 59" xfId="1145"/>
    <cellStyle name="Percent 59 2" xfId="2134"/>
    <cellStyle name="Percent 6" xfId="1146"/>
    <cellStyle name="Percent 6 2" xfId="2135"/>
    <cellStyle name="Percent 60" xfId="1147"/>
    <cellStyle name="Percent 60 2" xfId="2136"/>
    <cellStyle name="Percent 61" xfId="1148"/>
    <cellStyle name="Percent 61 2" xfId="2137"/>
    <cellStyle name="Percent 62" xfId="1149"/>
    <cellStyle name="Percent 62 2" xfId="2138"/>
    <cellStyle name="Percent 63" xfId="1150"/>
    <cellStyle name="Percent 63 2" xfId="2139"/>
    <cellStyle name="Percent 64" xfId="1151"/>
    <cellStyle name="Percent 64 2" xfId="2140"/>
    <cellStyle name="Percent 65" xfId="1152"/>
    <cellStyle name="Percent 65 2" xfId="2141"/>
    <cellStyle name="Percent 66" xfId="1153"/>
    <cellStyle name="Percent 66 2" xfId="2142"/>
    <cellStyle name="Percent 67" xfId="1154"/>
    <cellStyle name="Percent 67 2" xfId="2143"/>
    <cellStyle name="Percent 68" xfId="1155"/>
    <cellStyle name="Percent 68 2" xfId="2144"/>
    <cellStyle name="Percent 69" xfId="1156"/>
    <cellStyle name="Percent 69 2" xfId="2145"/>
    <cellStyle name="Percent 7" xfId="1157"/>
    <cellStyle name="Percent 7 2" xfId="2146"/>
    <cellStyle name="Percent 70" xfId="1158"/>
    <cellStyle name="Percent 70 2" xfId="2147"/>
    <cellStyle name="Percent 71" xfId="1159"/>
    <cellStyle name="Percent 71 2" xfId="2148"/>
    <cellStyle name="Percent 72" xfId="1160"/>
    <cellStyle name="Percent 72 2" xfId="1161"/>
    <cellStyle name="Percent 72 2 2" xfId="2150"/>
    <cellStyle name="Percent 72 3" xfId="2149"/>
    <cellStyle name="Percent 73" xfId="1162"/>
    <cellStyle name="Percent 73 2" xfId="1163"/>
    <cellStyle name="Percent 73 2 2" xfId="2152"/>
    <cellStyle name="Percent 73 3" xfId="2151"/>
    <cellStyle name="Percent 74" xfId="1164"/>
    <cellStyle name="Percent 74 2" xfId="1165"/>
    <cellStyle name="Percent 74 2 2" xfId="2154"/>
    <cellStyle name="Percent 74 3" xfId="2153"/>
    <cellStyle name="Percent 75" xfId="1166"/>
    <cellStyle name="Percent 75 2" xfId="1167"/>
    <cellStyle name="Percent 75 2 2" xfId="2156"/>
    <cellStyle name="Percent 75 3" xfId="2155"/>
    <cellStyle name="Percent 76" xfId="1168"/>
    <cellStyle name="Percent 76 2" xfId="1169"/>
    <cellStyle name="Percent 76 2 2" xfId="2158"/>
    <cellStyle name="Percent 76 3" xfId="2157"/>
    <cellStyle name="Percent 77" xfId="1170"/>
    <cellStyle name="Percent 77 2" xfId="1171"/>
    <cellStyle name="Percent 77 2 2" xfId="2160"/>
    <cellStyle name="Percent 77 3" xfId="2159"/>
    <cellStyle name="Percent 78" xfId="1172"/>
    <cellStyle name="Percent 78 2" xfId="1173"/>
    <cellStyle name="Percent 78 2 2" xfId="2162"/>
    <cellStyle name="Percent 78 3" xfId="2161"/>
    <cellStyle name="Percent 79" xfId="1174"/>
    <cellStyle name="Percent 79 2" xfId="2163"/>
    <cellStyle name="Percent 8" xfId="1175"/>
    <cellStyle name="Percent 8 2" xfId="2164"/>
    <cellStyle name="Percent 80" xfId="1176"/>
    <cellStyle name="Percent 80 2" xfId="2165"/>
    <cellStyle name="Percent 81" xfId="1177"/>
    <cellStyle name="Percent 81 2" xfId="2166"/>
    <cellStyle name="Percent 82" xfId="1178"/>
    <cellStyle name="Percent 82 2" xfId="2167"/>
    <cellStyle name="Percent 83" xfId="1179"/>
    <cellStyle name="Percent 83 2" xfId="2168"/>
    <cellStyle name="Percent 84" xfId="1180"/>
    <cellStyle name="Percent 84 2" xfId="2169"/>
    <cellStyle name="Percent 85" xfId="1181"/>
    <cellStyle name="Percent 85 2" xfId="2170"/>
    <cellStyle name="Percent 86" xfId="1182"/>
    <cellStyle name="Percent 86 2" xfId="2171"/>
    <cellStyle name="Percent 87" xfId="1183"/>
    <cellStyle name="Percent 87 2" xfId="2172"/>
    <cellStyle name="Percent 88" xfId="1184"/>
    <cellStyle name="Percent 88 2" xfId="2173"/>
    <cellStyle name="Percent 89" xfId="1185"/>
    <cellStyle name="Percent 89 2" xfId="2174"/>
    <cellStyle name="Percent 9" xfId="1186"/>
    <cellStyle name="Percent 9 2" xfId="1187"/>
    <cellStyle name="Percent 9 2 2" xfId="2176"/>
    <cellStyle name="Percent 9 3" xfId="1188"/>
    <cellStyle name="Percent 9 3 2" xfId="2177"/>
    <cellStyle name="Percent 9 4" xfId="2175"/>
    <cellStyle name="Percent 90" xfId="1189"/>
    <cellStyle name="Percent 90 2" xfId="2178"/>
    <cellStyle name="Percent 91" xfId="1190"/>
    <cellStyle name="Percent 91 2" xfId="2179"/>
    <cellStyle name="Percent 92" xfId="1191"/>
    <cellStyle name="Percent 92 2" xfId="2180"/>
    <cellStyle name="Percent 93" xfId="1192"/>
    <cellStyle name="Percent 93 2" xfId="2181"/>
    <cellStyle name="Percent 94" xfId="1193"/>
    <cellStyle name="Percent 94 2" xfId="1194"/>
    <cellStyle name="Percent 94 2 2" xfId="2183"/>
    <cellStyle name="Percent 94 3" xfId="2182"/>
    <cellStyle name="Percent 95" xfId="1195"/>
    <cellStyle name="Percent 95 2" xfId="1196"/>
    <cellStyle name="Percent 95 2 2" xfId="2185"/>
    <cellStyle name="Percent 95 3" xfId="2184"/>
    <cellStyle name="Percent 96" xfId="1197"/>
    <cellStyle name="Percent 96 2" xfId="1198"/>
    <cellStyle name="Percent 96 2 2" xfId="2187"/>
    <cellStyle name="Percent 96 3" xfId="2186"/>
    <cellStyle name="Percent 97" xfId="1199"/>
    <cellStyle name="Percent 97 2" xfId="1200"/>
    <cellStyle name="Percent 97 2 2" xfId="2189"/>
    <cellStyle name="Percent 97 3" xfId="2188"/>
    <cellStyle name="Percent 98" xfId="1201"/>
    <cellStyle name="Percent 98 2" xfId="1202"/>
    <cellStyle name="Percent 98 2 2" xfId="2191"/>
    <cellStyle name="Percent 98 3" xfId="2190"/>
    <cellStyle name="Percent 99" xfId="1203"/>
    <cellStyle name="Percent 99 2" xfId="1204"/>
    <cellStyle name="Percent 99 2 2" xfId="2193"/>
    <cellStyle name="Percent 99 3" xfId="2192"/>
    <cellStyle name="PSChar" xfId="1205"/>
    <cellStyle name="PSChar 2" xfId="1206"/>
    <cellStyle name="PSChar 3" xfId="1207"/>
    <cellStyle name="PSDate" xfId="1208"/>
    <cellStyle name="PSDate 2" xfId="1209"/>
    <cellStyle name="PSDate 3" xfId="1210"/>
    <cellStyle name="PSDec" xfId="1211"/>
    <cellStyle name="PSDec 2" xfId="1212"/>
    <cellStyle name="PSDec 3" xfId="1213"/>
    <cellStyle name="PSHeading" xfId="1214"/>
    <cellStyle name="PSHeading 2" xfId="1215"/>
    <cellStyle name="PSHeading 2 2" xfId="1216"/>
    <cellStyle name="PSHeading 3" xfId="1217"/>
    <cellStyle name="PSHeading 3 2" xfId="1218"/>
    <cellStyle name="PSHeading 4" xfId="1219"/>
    <cellStyle name="PSHeading_BP-14 Preliminary Capital Forecast NonBudget System_5 2 13" xfId="1220"/>
    <cellStyle name="PSInt" xfId="1221"/>
    <cellStyle name="PSInt 2" xfId="1222"/>
    <cellStyle name="PSInt 3" xfId="1223"/>
    <cellStyle name="PSSpacer" xfId="1224"/>
    <cellStyle name="PSSpacer 2" xfId="1225"/>
    <cellStyle name="PSSpacer 3" xfId="1226"/>
    <cellStyle name="Rate" xfId="1227"/>
    <cellStyle name="Reference" xfId="1228"/>
    <cellStyle name="RevList" xfId="1229"/>
    <cellStyle name="round100" xfId="1230"/>
    <cellStyle name="round100 2" xfId="2194"/>
    <cellStyle name="SectionBreak" xfId="1231"/>
    <cellStyle name="shade" xfId="1232"/>
    <cellStyle name="shade 2" xfId="2195"/>
    <cellStyle name="StmtTtl1" xfId="1233"/>
    <cellStyle name="StmtTtl1 2" xfId="1234"/>
    <cellStyle name="StmtTtl2" xfId="1235"/>
    <cellStyle name="STYL1 - Style1" xfId="1236"/>
    <cellStyle name="Style 1" xfId="1237"/>
    <cellStyle name="Style 1 2" xfId="2196"/>
    <cellStyle name="Style 21" xfId="2351"/>
    <cellStyle name="Style 21 2" xfId="2352"/>
    <cellStyle name="Style 21 2 2" xfId="2383"/>
    <cellStyle name="Style 22" xfId="2353"/>
    <cellStyle name="Style 22 2" xfId="2354"/>
    <cellStyle name="Style 22 2 2" xfId="2384"/>
    <cellStyle name="Style 23" xfId="2355"/>
    <cellStyle name="Style 23 2" xfId="2356"/>
    <cellStyle name="Style 23 2 2" xfId="2385"/>
    <cellStyle name="Style 24" xfId="2357"/>
    <cellStyle name="Style 24 2" xfId="2358"/>
    <cellStyle name="Style 24 2 2" xfId="2386"/>
    <cellStyle name="Style 25" xfId="2359"/>
    <cellStyle name="Style 25 2" xfId="2360"/>
    <cellStyle name="Style 25 2 2" xfId="2387"/>
    <cellStyle name="Style 26" xfId="2361"/>
    <cellStyle name="Style 26 2" xfId="2362"/>
    <cellStyle name="Style 26 2 2" xfId="2388"/>
    <cellStyle name="styleColumnTitles" xfId="2363"/>
    <cellStyle name="styleColumnTitles 2" xfId="2364"/>
    <cellStyle name="styleColumnTitles 2 2" xfId="2389"/>
    <cellStyle name="styleDateRange" xfId="2365"/>
    <cellStyle name="styleDateRange 2" xfId="2366"/>
    <cellStyle name="styleDateRange 2 2" xfId="2390"/>
    <cellStyle name="styleHidden" xfId="2367"/>
    <cellStyle name="styleHidden 2" xfId="2368"/>
    <cellStyle name="styleHidden 2 2" xfId="2391"/>
    <cellStyle name="styleNormal" xfId="2369"/>
    <cellStyle name="styleNormal 2" xfId="2370"/>
    <cellStyle name="styleNormal 2 2" xfId="2392"/>
    <cellStyle name="styleSeriesAttributes" xfId="2371"/>
    <cellStyle name="styleSeriesAttributes 2" xfId="2372"/>
    <cellStyle name="styleSeriesAttributes 2 2" xfId="2393"/>
    <cellStyle name="styleSeriesData" xfId="2373"/>
    <cellStyle name="styleSeriesData 2" xfId="2374"/>
    <cellStyle name="styleSeriesData 2 2" xfId="2394"/>
    <cellStyle name="styleSeriesDataForecast" xfId="2375"/>
    <cellStyle name="styleSeriesDataForecast 2" xfId="2376"/>
    <cellStyle name="styleSeriesDataForecast 2 2" xfId="2395"/>
    <cellStyle name="styleSeriesDataForecastNA" xfId="2377"/>
    <cellStyle name="styleSeriesDataForecastNA 2" xfId="2378"/>
    <cellStyle name="styleSeriesDataForecastNA 2 2" xfId="2396"/>
    <cellStyle name="styleSeriesDataNA" xfId="2379"/>
    <cellStyle name="styleSeriesDataNA 2" xfId="2380"/>
    <cellStyle name="styleSeriesDataNA 2 2" xfId="2397"/>
    <cellStyle name="Subtotal" xfId="1238"/>
    <cellStyle name="Table Head" xfId="1239"/>
    <cellStyle name="Table Head Aligned" xfId="1240"/>
    <cellStyle name="Table Head Blue" xfId="1241"/>
    <cellStyle name="Table Head Green" xfId="1242"/>
    <cellStyle name="Table Heading" xfId="1243"/>
    <cellStyle name="Table Title" xfId="1244"/>
    <cellStyle name="Table Units" xfId="1245"/>
    <cellStyle name="Title 2" xfId="1246"/>
    <cellStyle name="Title 2 2" xfId="1247"/>
    <cellStyle name="Title 2 2 2" xfId="1248"/>
    <cellStyle name="Title 2 2 3" xfId="1249"/>
    <cellStyle name="Title 2 2 4" xfId="1250"/>
    <cellStyle name="Title 2 3" xfId="1251"/>
    <cellStyle name="Title 2 4" xfId="1252"/>
    <cellStyle name="Title 2 5" xfId="1253"/>
    <cellStyle name="Title 2 6" xfId="1254"/>
    <cellStyle name="Title 3" xfId="1255"/>
    <cellStyle name="Title 4" xfId="1544"/>
    <cellStyle name="Title: Minor" xfId="1256"/>
    <cellStyle name="Title: Worksheet" xfId="1257"/>
    <cellStyle name="Total 2" xfId="1258"/>
    <cellStyle name="Total 2 2" xfId="1259"/>
    <cellStyle name="Total 2 2 2" xfId="1260"/>
    <cellStyle name="Total 2 2 3" xfId="1261"/>
    <cellStyle name="Total 2 2 4" xfId="1262"/>
    <cellStyle name="Total 2 3" xfId="1263"/>
    <cellStyle name="Total 2 4" xfId="1264"/>
    <cellStyle name="Total 2 5" xfId="1265"/>
    <cellStyle name="Total 2 6" xfId="1266"/>
    <cellStyle name="Total 2_QC" xfId="1267"/>
    <cellStyle name="Total 3" xfId="1268"/>
    <cellStyle name="Total 4" xfId="1545"/>
    <cellStyle name="v" xfId="1269"/>
    <cellStyle name="v 2" xfId="2197"/>
    <cellStyle name="Warning Text 2" xfId="1270"/>
    <cellStyle name="Warning Text 2 2" xfId="1271"/>
    <cellStyle name="Warning Text 2 2 2" xfId="1272"/>
    <cellStyle name="Warning Text 2 3" xfId="1273"/>
    <cellStyle name="Warning Text 2 4" xfId="1274"/>
    <cellStyle name="Warning Text 2 5" xfId="1275"/>
    <cellStyle name="Warning Text 2 6" xfId="1276"/>
    <cellStyle name="Warning Text 3" xfId="1277"/>
    <cellStyle name="Warning Text 4" xfId="1546"/>
  </cellStyles>
  <dxfs count="0"/>
  <tableStyles count="0" defaultTableStyle="TableStyleMedium2" defaultPivotStyle="PivotStyleLight16"/>
  <colors>
    <mruColors>
      <color rgb="FF64C800"/>
      <color rgb="FFFF3399"/>
      <color rgb="FF9B6943"/>
      <color rgb="FFCC00FF"/>
      <color rgb="FF0000FF"/>
      <color rgb="FF00CCFF"/>
      <color rgb="FFFF9933"/>
      <color rgb="FFF3EE1D"/>
      <color rgb="FF0094C8"/>
      <color rgb="FFCC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7" tint="0.59999389629810485"/>
  </sheetPr>
  <dimension ref="A1:AH83"/>
  <sheetViews>
    <sheetView workbookViewId="0">
      <selection sqref="A1:M1"/>
    </sheetView>
  </sheetViews>
  <sheetFormatPr defaultRowHeight="15"/>
  <cols>
    <col min="1" max="1" width="4.42578125" style="23" customWidth="1"/>
    <col min="2" max="2" width="22.7109375" style="23" customWidth="1"/>
    <col min="3" max="3" width="38" style="23" customWidth="1"/>
    <col min="4" max="13" width="10.7109375" style="23" customWidth="1"/>
    <col min="14" max="16384" width="9.140625" style="23"/>
  </cols>
  <sheetData>
    <row r="1" spans="1:13" ht="18.75">
      <c r="A1" s="625" t="s">
        <v>218</v>
      </c>
      <c r="B1" s="626"/>
      <c r="C1" s="626"/>
      <c r="D1" s="626"/>
      <c r="E1" s="626"/>
      <c r="F1" s="626"/>
      <c r="G1" s="626"/>
      <c r="H1" s="626"/>
      <c r="I1" s="626"/>
      <c r="J1" s="626"/>
      <c r="K1" s="626"/>
      <c r="L1" s="626"/>
      <c r="M1" s="627"/>
    </row>
    <row r="2" spans="1:13" ht="18.75">
      <c r="A2" s="24"/>
      <c r="B2" s="25" t="s">
        <v>107</v>
      </c>
      <c r="C2" s="26" t="s">
        <v>172</v>
      </c>
      <c r="D2" s="27"/>
      <c r="E2" s="27"/>
      <c r="F2" s="27"/>
      <c r="G2" s="27"/>
      <c r="H2" s="27"/>
      <c r="I2" s="27"/>
      <c r="J2" s="27"/>
      <c r="K2" s="628" t="s">
        <v>111</v>
      </c>
      <c r="L2" s="628"/>
      <c r="M2" s="629"/>
    </row>
    <row r="3" spans="1:13" ht="18.75">
      <c r="A3" s="25"/>
      <c r="B3" s="25" t="s">
        <v>106</v>
      </c>
      <c r="C3" s="26" t="s">
        <v>172</v>
      </c>
      <c r="D3" s="27"/>
      <c r="E3" s="5" t="s">
        <v>45</v>
      </c>
      <c r="F3" s="27"/>
      <c r="G3" s="27"/>
      <c r="H3" s="27"/>
      <c r="I3" s="27"/>
      <c r="J3" s="27"/>
      <c r="K3" s="27"/>
      <c r="L3" s="27"/>
      <c r="M3" s="28"/>
    </row>
    <row r="4" spans="1:13">
      <c r="A4" s="24"/>
      <c r="B4" s="25" t="s">
        <v>8</v>
      </c>
      <c r="C4" s="26"/>
      <c r="D4" s="29"/>
      <c r="E4" s="29" t="s">
        <v>37</v>
      </c>
      <c r="F4" s="29"/>
      <c r="G4" s="29"/>
      <c r="H4" s="29"/>
      <c r="I4" s="29"/>
      <c r="J4" s="29"/>
      <c r="K4" s="29"/>
      <c r="L4" s="29"/>
      <c r="M4" s="30"/>
    </row>
    <row r="5" spans="1:13">
      <c r="A5" s="630" t="s">
        <v>10</v>
      </c>
      <c r="B5" s="631"/>
      <c r="C5" s="26"/>
      <c r="D5" s="29"/>
      <c r="E5" s="29" t="s">
        <v>58</v>
      </c>
      <c r="F5" s="29"/>
      <c r="G5" s="31" t="s">
        <v>44</v>
      </c>
      <c r="H5" s="29"/>
      <c r="I5" s="29"/>
      <c r="J5" s="29"/>
      <c r="K5" s="29"/>
      <c r="L5" s="29"/>
      <c r="M5" s="30"/>
    </row>
    <row r="6" spans="1:13">
      <c r="A6" s="623" t="s">
        <v>9</v>
      </c>
      <c r="B6" s="624"/>
      <c r="C6" s="26"/>
      <c r="D6" s="29"/>
      <c r="E6" s="29" t="s">
        <v>83</v>
      </c>
      <c r="F6" s="32"/>
      <c r="G6" s="33" t="s">
        <v>44</v>
      </c>
      <c r="H6" s="29"/>
      <c r="I6" s="29"/>
      <c r="J6" s="29"/>
      <c r="K6" s="29"/>
      <c r="L6" s="29"/>
      <c r="M6" s="30"/>
    </row>
    <row r="7" spans="1:13">
      <c r="A7" s="623" t="s">
        <v>60</v>
      </c>
      <c r="B7" s="624"/>
      <c r="C7" s="26" t="s">
        <v>145</v>
      </c>
      <c r="D7" s="29"/>
      <c r="E7" s="29" t="s">
        <v>186</v>
      </c>
      <c r="F7" s="29"/>
      <c r="G7" s="34" t="s">
        <v>44</v>
      </c>
      <c r="H7" s="29"/>
      <c r="I7" s="29"/>
      <c r="J7" s="29"/>
      <c r="K7" s="29"/>
      <c r="L7" s="29"/>
      <c r="M7" s="30"/>
    </row>
    <row r="8" spans="1:13">
      <c r="A8" s="623" t="s">
        <v>61</v>
      </c>
      <c r="B8" s="624"/>
      <c r="C8" s="26"/>
      <c r="D8" s="29"/>
      <c r="F8" s="32"/>
      <c r="H8" s="29"/>
      <c r="I8" s="29"/>
      <c r="J8" s="29"/>
      <c r="K8" s="29"/>
      <c r="L8" s="29"/>
      <c r="M8" s="30"/>
    </row>
    <row r="9" spans="1:13" ht="15" customHeight="1">
      <c r="A9" s="636" t="s">
        <v>156</v>
      </c>
      <c r="B9" s="637"/>
      <c r="C9" s="9" t="s">
        <v>82</v>
      </c>
      <c r="D9" s="29"/>
      <c r="E9" s="29"/>
      <c r="F9" s="29"/>
      <c r="G9" s="29"/>
      <c r="H9" s="29"/>
      <c r="I9" s="29"/>
      <c r="J9" s="29"/>
      <c r="K9" s="29"/>
      <c r="L9" s="29"/>
      <c r="M9" s="30"/>
    </row>
    <row r="10" spans="1:13">
      <c r="A10" s="623" t="s">
        <v>108</v>
      </c>
      <c r="B10" s="624"/>
      <c r="C10" s="35">
        <v>-18968</v>
      </c>
      <c r="D10" s="29"/>
      <c r="E10" s="638" t="s">
        <v>59</v>
      </c>
      <c r="F10" s="639"/>
      <c r="G10" s="639"/>
      <c r="H10" s="639"/>
      <c r="I10" s="639"/>
      <c r="J10" s="639"/>
      <c r="K10" s="639"/>
      <c r="L10" s="639"/>
      <c r="M10" s="30"/>
    </row>
    <row r="11" spans="1:13">
      <c r="A11" s="16"/>
      <c r="B11" s="17" t="s">
        <v>157</v>
      </c>
      <c r="C11" s="35">
        <v>-6853</v>
      </c>
      <c r="D11" s="29"/>
      <c r="E11" s="638"/>
      <c r="F11" s="639"/>
      <c r="G11" s="639"/>
      <c r="H11" s="639"/>
      <c r="I11" s="639"/>
      <c r="J11" s="639"/>
      <c r="K11" s="639"/>
      <c r="L11" s="639"/>
      <c r="M11" s="30"/>
    </row>
    <row r="12" spans="1:13">
      <c r="A12" s="623" t="s">
        <v>109</v>
      </c>
      <c r="B12" s="624"/>
      <c r="C12" s="36">
        <v>561</v>
      </c>
      <c r="D12" s="29"/>
      <c r="E12" s="639"/>
      <c r="F12" s="639"/>
      <c r="G12" s="639"/>
      <c r="H12" s="639"/>
      <c r="I12" s="639"/>
      <c r="J12" s="639"/>
      <c r="K12" s="639"/>
      <c r="L12" s="639"/>
      <c r="M12" s="30"/>
    </row>
    <row r="13" spans="1:13">
      <c r="A13" s="623" t="s">
        <v>12</v>
      </c>
      <c r="B13" s="624"/>
      <c r="C13" s="37">
        <v>2014</v>
      </c>
      <c r="D13" s="29"/>
      <c r="E13" s="639"/>
      <c r="F13" s="639"/>
      <c r="G13" s="639"/>
      <c r="H13" s="639"/>
      <c r="I13" s="639"/>
      <c r="J13" s="639"/>
      <c r="K13" s="639"/>
      <c r="L13" s="639"/>
      <c r="M13" s="30"/>
    </row>
    <row r="14" spans="1:13">
      <c r="A14" s="640" t="s">
        <v>13</v>
      </c>
      <c r="B14" s="641"/>
      <c r="C14" s="38">
        <v>2023</v>
      </c>
      <c r="D14" s="39"/>
      <c r="E14" s="39"/>
      <c r="F14" s="39"/>
      <c r="G14" s="39"/>
      <c r="H14" s="39"/>
      <c r="I14" s="39"/>
      <c r="J14" s="39"/>
      <c r="K14" s="39"/>
      <c r="L14" s="39"/>
      <c r="M14" s="40"/>
    </row>
    <row r="16" spans="1:13">
      <c r="A16" s="20" t="s">
        <v>23</v>
      </c>
      <c r="B16" s="21"/>
      <c r="C16" s="21"/>
      <c r="D16" s="634" t="s">
        <v>203</v>
      </c>
      <c r="E16" s="634"/>
      <c r="F16" s="634"/>
      <c r="G16" s="634"/>
      <c r="H16" s="634"/>
      <c r="I16" s="634"/>
      <c r="J16" s="634"/>
      <c r="K16" s="634"/>
      <c r="L16" s="634"/>
      <c r="M16" s="635"/>
    </row>
    <row r="17" spans="1:34">
      <c r="A17" s="632"/>
      <c r="B17" s="633"/>
      <c r="C17" s="633"/>
      <c r="D17" s="18">
        <f>C13</f>
        <v>2014</v>
      </c>
      <c r="E17" s="18">
        <f>D17+1</f>
        <v>2015</v>
      </c>
      <c r="F17" s="18">
        <f t="shared" ref="F17:L17" si="0">E17+1</f>
        <v>2016</v>
      </c>
      <c r="G17" s="18">
        <f t="shared" si="0"/>
        <v>2017</v>
      </c>
      <c r="H17" s="18">
        <f t="shared" si="0"/>
        <v>2018</v>
      </c>
      <c r="I17" s="18">
        <f t="shared" si="0"/>
        <v>2019</v>
      </c>
      <c r="J17" s="18">
        <f t="shared" si="0"/>
        <v>2020</v>
      </c>
      <c r="K17" s="18">
        <f t="shared" si="0"/>
        <v>2021</v>
      </c>
      <c r="L17" s="18">
        <f t="shared" si="0"/>
        <v>2022</v>
      </c>
      <c r="M17" s="19">
        <f>L17+1</f>
        <v>2023</v>
      </c>
      <c r="N17" s="18">
        <f>M17+1</f>
        <v>2024</v>
      </c>
      <c r="O17" s="18">
        <f t="shared" ref="O17:AH17" si="1">N17+1</f>
        <v>2025</v>
      </c>
      <c r="P17" s="18">
        <f t="shared" si="1"/>
        <v>2026</v>
      </c>
      <c r="Q17" s="18">
        <f t="shared" si="1"/>
        <v>2027</v>
      </c>
      <c r="R17" s="18">
        <f t="shared" si="1"/>
        <v>2028</v>
      </c>
      <c r="S17" s="18">
        <f t="shared" si="1"/>
        <v>2029</v>
      </c>
      <c r="T17" s="18">
        <f t="shared" si="1"/>
        <v>2030</v>
      </c>
      <c r="U17" s="18">
        <f t="shared" si="1"/>
        <v>2031</v>
      </c>
      <c r="V17" s="18">
        <f t="shared" si="1"/>
        <v>2032</v>
      </c>
      <c r="W17" s="18">
        <f t="shared" si="1"/>
        <v>2033</v>
      </c>
      <c r="X17" s="18">
        <f t="shared" si="1"/>
        <v>2034</v>
      </c>
      <c r="Y17" s="18">
        <f t="shared" si="1"/>
        <v>2035</v>
      </c>
      <c r="Z17" s="18">
        <f t="shared" si="1"/>
        <v>2036</v>
      </c>
      <c r="AA17" s="18">
        <f t="shared" si="1"/>
        <v>2037</v>
      </c>
      <c r="AB17" s="18">
        <f t="shared" si="1"/>
        <v>2038</v>
      </c>
      <c r="AC17" s="18">
        <f t="shared" si="1"/>
        <v>2039</v>
      </c>
      <c r="AD17" s="18">
        <f t="shared" si="1"/>
        <v>2040</v>
      </c>
      <c r="AE17" s="18">
        <f t="shared" si="1"/>
        <v>2041</v>
      </c>
      <c r="AF17" s="18">
        <f t="shared" si="1"/>
        <v>2042</v>
      </c>
      <c r="AG17" s="18">
        <f t="shared" si="1"/>
        <v>2043</v>
      </c>
      <c r="AH17" s="18">
        <f t="shared" si="1"/>
        <v>2044</v>
      </c>
    </row>
    <row r="18" spans="1:34">
      <c r="A18" s="22" t="s">
        <v>204</v>
      </c>
      <c r="B18" s="41"/>
      <c r="C18" s="41"/>
      <c r="D18" s="41"/>
      <c r="E18" s="41"/>
      <c r="F18" s="41"/>
      <c r="G18" s="41"/>
      <c r="H18" s="41"/>
      <c r="I18" s="41"/>
      <c r="J18" s="41"/>
      <c r="K18" s="41"/>
      <c r="L18" s="41"/>
      <c r="M18" s="42"/>
      <c r="N18" s="90"/>
      <c r="O18" s="90"/>
      <c r="P18" s="90"/>
      <c r="Q18" s="90"/>
      <c r="R18" s="90"/>
      <c r="S18" s="90"/>
      <c r="T18" s="90"/>
      <c r="U18" s="90"/>
      <c r="V18" s="90"/>
      <c r="W18" s="90"/>
      <c r="X18" s="90"/>
      <c r="Y18" s="90"/>
      <c r="Z18" s="90"/>
      <c r="AA18" s="90"/>
      <c r="AB18" s="90"/>
      <c r="AC18" s="90"/>
      <c r="AD18" s="90"/>
      <c r="AE18" s="90"/>
      <c r="AF18" s="90"/>
      <c r="AG18" s="90"/>
      <c r="AH18" s="90"/>
    </row>
    <row r="19" spans="1:34">
      <c r="A19" s="43"/>
      <c r="B19" s="44" t="s">
        <v>239</v>
      </c>
      <c r="C19" s="41"/>
      <c r="D19" s="82" t="e">
        <f>'Repayment Inputs'!#REF!-'Repayment Inputs'!#REF!-'Repayment Inputs'!#REF!</f>
        <v>#REF!</v>
      </c>
      <c r="E19" s="82" t="e">
        <f>'Repayment Inputs'!#REF!-'Repayment Inputs'!#REF!-'Repayment Inputs'!#REF!</f>
        <v>#REF!</v>
      </c>
      <c r="F19" s="82">
        <f>'Repayment Inputs'!C26-'Repayment Inputs'!C22-'Repayment Inputs'!C23</f>
        <v>86734.040999999997</v>
      </c>
      <c r="G19" s="82">
        <f>'Repayment Inputs'!D26-'Repayment Inputs'!D22-'Repayment Inputs'!D23</f>
        <v>98491.108000000007</v>
      </c>
      <c r="H19" s="82" t="e">
        <f>'Repayment Inputs'!#REF!-'Repayment Inputs'!#REF!-'Repayment Inputs'!#REF!</f>
        <v>#REF!</v>
      </c>
      <c r="I19" s="82" t="e">
        <f>'Repayment Inputs'!#REF!-'Repayment Inputs'!#REF!-'Repayment Inputs'!#REF!</f>
        <v>#REF!</v>
      </c>
      <c r="J19" s="82" t="e">
        <f>'Repayment Inputs'!#REF!-'Repayment Inputs'!#REF!-'Repayment Inputs'!#REF!</f>
        <v>#REF!</v>
      </c>
      <c r="K19" s="82" t="e">
        <f>'Repayment Inputs'!#REF!-'Repayment Inputs'!#REF!-'Repayment Inputs'!#REF!</f>
        <v>#REF!</v>
      </c>
      <c r="L19" s="82" t="e">
        <f>'Repayment Inputs'!#REF!-'Repayment Inputs'!#REF!-'Repayment Inputs'!#REF!</f>
        <v>#REF!</v>
      </c>
      <c r="M19" s="82" t="e">
        <f>'Repayment Inputs'!#REF!-'Repayment Inputs'!#REF!-'Repayment Inputs'!#REF!</f>
        <v>#REF!</v>
      </c>
      <c r="N19" s="82" t="e">
        <f>'Repayment Inputs'!#REF!-'Repayment Inputs'!#REF!-'Repayment Inputs'!#REF!</f>
        <v>#REF!</v>
      </c>
      <c r="O19" s="82" t="e">
        <f>'Repayment Inputs'!#REF!-'Repayment Inputs'!#REF!-'Repayment Inputs'!#REF!</f>
        <v>#REF!</v>
      </c>
      <c r="P19" s="82" t="e">
        <f>'Repayment Inputs'!#REF!-'Repayment Inputs'!#REF!-'Repayment Inputs'!#REF!</f>
        <v>#REF!</v>
      </c>
      <c r="Q19" s="82" t="e">
        <f>'Repayment Inputs'!#REF!-'Repayment Inputs'!#REF!-'Repayment Inputs'!#REF!</f>
        <v>#REF!</v>
      </c>
      <c r="R19" s="82" t="e">
        <f>'Repayment Inputs'!#REF!-'Repayment Inputs'!#REF!-'Repayment Inputs'!#REF!</f>
        <v>#REF!</v>
      </c>
      <c r="S19" s="82" t="e">
        <f>'Repayment Inputs'!#REF!-'Repayment Inputs'!#REF!-'Repayment Inputs'!#REF!</f>
        <v>#REF!</v>
      </c>
      <c r="T19" s="82" t="e">
        <f>'Repayment Inputs'!#REF!-'Repayment Inputs'!#REF!-'Repayment Inputs'!#REF!</f>
        <v>#REF!</v>
      </c>
      <c r="U19" s="82" t="e">
        <f>'Repayment Inputs'!#REF!-'Repayment Inputs'!#REF!-'Repayment Inputs'!#REF!</f>
        <v>#REF!</v>
      </c>
      <c r="V19" s="82" t="e">
        <f>'Repayment Inputs'!#REF!-'Repayment Inputs'!#REF!-'Repayment Inputs'!#REF!</f>
        <v>#REF!</v>
      </c>
      <c r="W19" s="82" t="e">
        <f>'Repayment Inputs'!#REF!-'Repayment Inputs'!#REF!-'Repayment Inputs'!#REF!</f>
        <v>#REF!</v>
      </c>
      <c r="X19" s="82" t="e">
        <f>'Repayment Inputs'!#REF!-'Repayment Inputs'!#REF!-'Repayment Inputs'!#REF!</f>
        <v>#REF!</v>
      </c>
      <c r="Y19" s="82" t="e">
        <f>'Repayment Inputs'!#REF!-'Repayment Inputs'!#REF!-'Repayment Inputs'!#REF!</f>
        <v>#REF!</v>
      </c>
      <c r="Z19" s="82" t="e">
        <f>'Repayment Inputs'!#REF!-'Repayment Inputs'!#REF!-'Repayment Inputs'!#REF!</f>
        <v>#REF!</v>
      </c>
      <c r="AA19" s="82" t="e">
        <f>'Repayment Inputs'!#REF!-'Repayment Inputs'!#REF!-'Repayment Inputs'!#REF!</f>
        <v>#REF!</v>
      </c>
      <c r="AB19" s="82" t="e">
        <f>'Repayment Inputs'!#REF!-'Repayment Inputs'!#REF!-'Repayment Inputs'!#REF!</f>
        <v>#REF!</v>
      </c>
      <c r="AC19" s="82" t="e">
        <f>'Repayment Inputs'!#REF!-'Repayment Inputs'!#REF!-'Repayment Inputs'!#REF!</f>
        <v>#REF!</v>
      </c>
      <c r="AD19" s="82" t="e">
        <f>'Repayment Inputs'!#REF!-'Repayment Inputs'!#REF!-'Repayment Inputs'!#REF!</f>
        <v>#REF!</v>
      </c>
      <c r="AE19" s="82" t="e">
        <f>'Repayment Inputs'!#REF!-'Repayment Inputs'!#REF!-'Repayment Inputs'!#REF!</f>
        <v>#REF!</v>
      </c>
      <c r="AF19" s="82" t="e">
        <f>'Repayment Inputs'!#REF!-'Repayment Inputs'!#REF!-'Repayment Inputs'!#REF!</f>
        <v>#REF!</v>
      </c>
      <c r="AG19" s="82" t="e">
        <f>'Repayment Inputs'!#REF!-'Repayment Inputs'!#REF!-'Repayment Inputs'!#REF!</f>
        <v>#REF!</v>
      </c>
      <c r="AH19" s="82" t="e">
        <f>'Repayment Inputs'!#REF!-'Repayment Inputs'!#REF!-'Repayment Inputs'!#REF!</f>
        <v>#REF!</v>
      </c>
    </row>
    <row r="20" spans="1:34">
      <c r="A20" s="45"/>
      <c r="B20" s="46" t="s">
        <v>206</v>
      </c>
      <c r="C20" s="41"/>
      <c r="D20" s="47" t="e">
        <f>'Repayment Inputs'!#REF!</f>
        <v>#REF!</v>
      </c>
      <c r="E20" s="47" t="e">
        <f>'Repayment Inputs'!#REF!</f>
        <v>#REF!</v>
      </c>
      <c r="F20" s="47">
        <f>'Repayment Inputs'!C45</f>
        <v>193377.217</v>
      </c>
      <c r="G20" s="47">
        <f>'Repayment Inputs'!D45</f>
        <v>17303.521000000001</v>
      </c>
      <c r="H20" s="47" t="e">
        <f>'Repayment Inputs'!#REF!</f>
        <v>#REF!</v>
      </c>
      <c r="I20" s="47" t="e">
        <f>'Repayment Inputs'!#REF!</f>
        <v>#REF!</v>
      </c>
      <c r="J20" s="47" t="e">
        <f>'Repayment Inputs'!#REF!</f>
        <v>#REF!</v>
      </c>
      <c r="K20" s="47" t="e">
        <f>'Repayment Inputs'!#REF!</f>
        <v>#REF!</v>
      </c>
      <c r="L20" s="47" t="e">
        <f>'Repayment Inputs'!#REF!</f>
        <v>#REF!</v>
      </c>
      <c r="M20" s="47" t="e">
        <f>'Repayment Inputs'!#REF!</f>
        <v>#REF!</v>
      </c>
      <c r="N20" s="47" t="e">
        <f>'Repayment Inputs'!#REF!</f>
        <v>#REF!</v>
      </c>
      <c r="O20" s="47" t="e">
        <f>'Repayment Inputs'!#REF!</f>
        <v>#REF!</v>
      </c>
      <c r="P20" s="47" t="e">
        <f>'Repayment Inputs'!#REF!</f>
        <v>#REF!</v>
      </c>
      <c r="Q20" s="47" t="e">
        <f>'Repayment Inputs'!#REF!</f>
        <v>#REF!</v>
      </c>
      <c r="R20" s="47" t="e">
        <f>'Repayment Inputs'!#REF!</f>
        <v>#REF!</v>
      </c>
      <c r="S20" s="47" t="e">
        <f>'Repayment Inputs'!#REF!</f>
        <v>#REF!</v>
      </c>
      <c r="T20" s="47" t="e">
        <f>'Repayment Inputs'!#REF!</f>
        <v>#REF!</v>
      </c>
      <c r="U20" s="47" t="e">
        <f>'Repayment Inputs'!#REF!</f>
        <v>#REF!</v>
      </c>
      <c r="V20" s="47" t="e">
        <f>'Repayment Inputs'!#REF!</f>
        <v>#REF!</v>
      </c>
      <c r="W20" s="47" t="e">
        <f>'Repayment Inputs'!#REF!</f>
        <v>#REF!</v>
      </c>
      <c r="X20" s="47" t="e">
        <f>'Repayment Inputs'!#REF!</f>
        <v>#REF!</v>
      </c>
      <c r="Y20" s="47" t="e">
        <f>'Repayment Inputs'!#REF!</f>
        <v>#REF!</v>
      </c>
      <c r="Z20" s="47" t="e">
        <f>'Repayment Inputs'!#REF!</f>
        <v>#REF!</v>
      </c>
      <c r="AA20" s="47" t="e">
        <f>'Repayment Inputs'!#REF!</f>
        <v>#REF!</v>
      </c>
      <c r="AB20" s="47" t="e">
        <f>'Repayment Inputs'!#REF!</f>
        <v>#REF!</v>
      </c>
      <c r="AC20" s="47" t="e">
        <f>'Repayment Inputs'!#REF!</f>
        <v>#REF!</v>
      </c>
      <c r="AD20" s="47" t="e">
        <f>'Repayment Inputs'!#REF!</f>
        <v>#REF!</v>
      </c>
      <c r="AE20" s="47" t="e">
        <f>'Repayment Inputs'!#REF!</f>
        <v>#REF!</v>
      </c>
      <c r="AF20" s="47" t="e">
        <f>'Repayment Inputs'!#REF!</f>
        <v>#REF!</v>
      </c>
      <c r="AG20" s="47" t="e">
        <f>'Repayment Inputs'!#REF!</f>
        <v>#REF!</v>
      </c>
      <c r="AH20" s="47" t="e">
        <f>'Repayment Inputs'!#REF!</f>
        <v>#REF!</v>
      </c>
    </row>
    <row r="21" spans="1:34">
      <c r="A21" s="45"/>
      <c r="B21" s="46" t="s">
        <v>207</v>
      </c>
      <c r="C21" s="41"/>
      <c r="D21" s="47" t="e">
        <f>'Repayment Inputs'!#REF!-'Repayment Inputs'!#REF!</f>
        <v>#REF!</v>
      </c>
      <c r="E21" s="47" t="e">
        <f>'Repayment Inputs'!#REF!-'Repayment Inputs'!#REF!</f>
        <v>#REF!</v>
      </c>
      <c r="F21" s="47">
        <f>'Repayment Inputs'!C14-'Repayment Inputs'!C11</f>
        <v>102211.306</v>
      </c>
      <c r="G21" s="47">
        <f>'Repayment Inputs'!D14-'Repayment Inputs'!D11</f>
        <v>106752.371</v>
      </c>
      <c r="H21" s="47" t="e">
        <f>'Repayment Inputs'!#REF!-'Repayment Inputs'!#REF!</f>
        <v>#REF!</v>
      </c>
      <c r="I21" s="47" t="e">
        <f>'Repayment Inputs'!#REF!-'Repayment Inputs'!#REF!</f>
        <v>#REF!</v>
      </c>
      <c r="J21" s="47" t="e">
        <f>'Repayment Inputs'!#REF!-'Repayment Inputs'!#REF!</f>
        <v>#REF!</v>
      </c>
      <c r="K21" s="47" t="e">
        <f>'Repayment Inputs'!#REF!-'Repayment Inputs'!#REF!</f>
        <v>#REF!</v>
      </c>
      <c r="L21" s="47" t="e">
        <f>'Repayment Inputs'!#REF!-'Repayment Inputs'!#REF!</f>
        <v>#REF!</v>
      </c>
      <c r="M21" s="47" t="e">
        <f>'Repayment Inputs'!#REF!-'Repayment Inputs'!#REF!</f>
        <v>#REF!</v>
      </c>
      <c r="N21" s="47" t="e">
        <f>'Repayment Inputs'!#REF!-'Repayment Inputs'!#REF!</f>
        <v>#REF!</v>
      </c>
      <c r="O21" s="47" t="e">
        <f>'Repayment Inputs'!#REF!-'Repayment Inputs'!#REF!</f>
        <v>#REF!</v>
      </c>
      <c r="P21" s="47" t="e">
        <f>'Repayment Inputs'!#REF!-'Repayment Inputs'!#REF!</f>
        <v>#REF!</v>
      </c>
      <c r="Q21" s="47" t="e">
        <f>'Repayment Inputs'!#REF!-'Repayment Inputs'!#REF!</f>
        <v>#REF!</v>
      </c>
      <c r="R21" s="47" t="e">
        <f>'Repayment Inputs'!#REF!-'Repayment Inputs'!#REF!</f>
        <v>#REF!</v>
      </c>
      <c r="S21" s="47" t="e">
        <f>'Repayment Inputs'!#REF!-'Repayment Inputs'!#REF!</f>
        <v>#REF!</v>
      </c>
      <c r="T21" s="47" t="e">
        <f>'Repayment Inputs'!#REF!-'Repayment Inputs'!#REF!</f>
        <v>#REF!</v>
      </c>
      <c r="U21" s="47" t="e">
        <f>'Repayment Inputs'!#REF!-'Repayment Inputs'!#REF!</f>
        <v>#REF!</v>
      </c>
      <c r="V21" s="47" t="e">
        <f>'Repayment Inputs'!#REF!-'Repayment Inputs'!#REF!</f>
        <v>#REF!</v>
      </c>
      <c r="W21" s="47" t="e">
        <f>'Repayment Inputs'!#REF!-'Repayment Inputs'!#REF!</f>
        <v>#REF!</v>
      </c>
      <c r="X21" s="47" t="e">
        <f>'Repayment Inputs'!#REF!-'Repayment Inputs'!#REF!</f>
        <v>#REF!</v>
      </c>
      <c r="Y21" s="47" t="e">
        <f>'Repayment Inputs'!#REF!-'Repayment Inputs'!#REF!</f>
        <v>#REF!</v>
      </c>
      <c r="Z21" s="47" t="e">
        <f>'Repayment Inputs'!#REF!-'Repayment Inputs'!#REF!</f>
        <v>#REF!</v>
      </c>
      <c r="AA21" s="47" t="e">
        <f>'Repayment Inputs'!#REF!-'Repayment Inputs'!#REF!</f>
        <v>#REF!</v>
      </c>
      <c r="AB21" s="47" t="e">
        <f>'Repayment Inputs'!#REF!-'Repayment Inputs'!#REF!</f>
        <v>#REF!</v>
      </c>
      <c r="AC21" s="47" t="e">
        <f>'Repayment Inputs'!#REF!-'Repayment Inputs'!#REF!</f>
        <v>#REF!</v>
      </c>
      <c r="AD21" s="47" t="e">
        <f>'Repayment Inputs'!#REF!-'Repayment Inputs'!#REF!</f>
        <v>#REF!</v>
      </c>
      <c r="AE21" s="47" t="e">
        <f>'Repayment Inputs'!#REF!-'Repayment Inputs'!#REF!</f>
        <v>#REF!</v>
      </c>
      <c r="AF21" s="47" t="e">
        <f>'Repayment Inputs'!#REF!-'Repayment Inputs'!#REF!</f>
        <v>#REF!</v>
      </c>
      <c r="AG21" s="47" t="e">
        <f>'Repayment Inputs'!#REF!-'Repayment Inputs'!#REF!</f>
        <v>#REF!</v>
      </c>
      <c r="AH21" s="47" t="e">
        <f>'Repayment Inputs'!#REF!-'Repayment Inputs'!#REF!</f>
        <v>#REF!</v>
      </c>
    </row>
    <row r="22" spans="1:34">
      <c r="A22" s="45"/>
      <c r="B22" s="46" t="s">
        <v>208</v>
      </c>
      <c r="C22" s="41"/>
      <c r="D22" s="47" t="e">
        <f>'Repayment Inputs'!#REF!</f>
        <v>#REF!</v>
      </c>
      <c r="E22" s="47" t="e">
        <f>'Repayment Inputs'!#REF!</f>
        <v>#REF!</v>
      </c>
      <c r="F22" s="47">
        <f>'Repayment Inputs'!C33</f>
        <v>47905.794000000002</v>
      </c>
      <c r="G22" s="47">
        <f>'Repayment Inputs'!D33</f>
        <v>235015.81200000001</v>
      </c>
      <c r="H22" s="47" t="e">
        <f>'Repayment Inputs'!#REF!</f>
        <v>#REF!</v>
      </c>
      <c r="I22" s="47" t="e">
        <f>'Repayment Inputs'!#REF!</f>
        <v>#REF!</v>
      </c>
      <c r="J22" s="47" t="e">
        <f>'Repayment Inputs'!#REF!</f>
        <v>#REF!</v>
      </c>
      <c r="K22" s="47" t="e">
        <f>'Repayment Inputs'!#REF!</f>
        <v>#REF!</v>
      </c>
      <c r="L22" s="47" t="e">
        <f>'Repayment Inputs'!#REF!</f>
        <v>#REF!</v>
      </c>
      <c r="M22" s="47" t="e">
        <f>'Repayment Inputs'!#REF!</f>
        <v>#REF!</v>
      </c>
      <c r="N22" s="47" t="e">
        <f>'Repayment Inputs'!#REF!</f>
        <v>#REF!</v>
      </c>
      <c r="O22" s="47" t="e">
        <f>'Repayment Inputs'!#REF!</f>
        <v>#REF!</v>
      </c>
      <c r="P22" s="47" t="e">
        <f>'Repayment Inputs'!#REF!</f>
        <v>#REF!</v>
      </c>
      <c r="Q22" s="47" t="e">
        <f>'Repayment Inputs'!#REF!</f>
        <v>#REF!</v>
      </c>
      <c r="R22" s="47" t="e">
        <f>'Repayment Inputs'!#REF!</f>
        <v>#REF!</v>
      </c>
      <c r="S22" s="47" t="e">
        <f>'Repayment Inputs'!#REF!</f>
        <v>#REF!</v>
      </c>
      <c r="T22" s="47" t="e">
        <f>'Repayment Inputs'!#REF!</f>
        <v>#REF!</v>
      </c>
      <c r="U22" s="47" t="e">
        <f>'Repayment Inputs'!#REF!</f>
        <v>#REF!</v>
      </c>
      <c r="V22" s="47" t="e">
        <f>'Repayment Inputs'!#REF!</f>
        <v>#REF!</v>
      </c>
      <c r="W22" s="47" t="e">
        <f>'Repayment Inputs'!#REF!</f>
        <v>#REF!</v>
      </c>
      <c r="X22" s="47" t="e">
        <f>'Repayment Inputs'!#REF!</f>
        <v>#REF!</v>
      </c>
      <c r="Y22" s="47" t="e">
        <f>'Repayment Inputs'!#REF!</f>
        <v>#REF!</v>
      </c>
      <c r="Z22" s="47" t="e">
        <f>'Repayment Inputs'!#REF!</f>
        <v>#REF!</v>
      </c>
      <c r="AA22" s="47" t="e">
        <f>'Repayment Inputs'!#REF!</f>
        <v>#REF!</v>
      </c>
      <c r="AB22" s="47" t="e">
        <f>'Repayment Inputs'!#REF!</f>
        <v>#REF!</v>
      </c>
      <c r="AC22" s="47" t="e">
        <f>'Repayment Inputs'!#REF!</f>
        <v>#REF!</v>
      </c>
      <c r="AD22" s="47" t="e">
        <f>'Repayment Inputs'!#REF!</f>
        <v>#REF!</v>
      </c>
      <c r="AE22" s="47" t="e">
        <f>'Repayment Inputs'!#REF!</f>
        <v>#REF!</v>
      </c>
      <c r="AF22" s="47" t="e">
        <f>'Repayment Inputs'!#REF!</f>
        <v>#REF!</v>
      </c>
      <c r="AG22" s="47" t="e">
        <f>'Repayment Inputs'!#REF!</f>
        <v>#REF!</v>
      </c>
      <c r="AH22" s="47" t="e">
        <f>'Repayment Inputs'!#REF!</f>
        <v>#REF!</v>
      </c>
    </row>
    <row r="23" spans="1:34">
      <c r="A23" s="45"/>
      <c r="B23" s="46"/>
      <c r="C23" s="41"/>
      <c r="D23" s="51"/>
      <c r="E23" s="51"/>
      <c r="F23" s="51"/>
      <c r="G23" s="51"/>
      <c r="H23" s="51"/>
      <c r="I23" s="51"/>
      <c r="J23" s="51"/>
      <c r="K23" s="51"/>
      <c r="L23" s="51"/>
      <c r="M23" s="52"/>
    </row>
    <row r="24" spans="1:34">
      <c r="A24" s="22" t="s">
        <v>209</v>
      </c>
      <c r="B24" s="46"/>
      <c r="C24" s="41"/>
      <c r="D24" s="90"/>
      <c r="E24" s="51"/>
      <c r="F24" s="51"/>
      <c r="G24" s="51"/>
      <c r="H24" s="51"/>
      <c r="I24" s="51"/>
      <c r="J24" s="51"/>
      <c r="K24" s="51"/>
      <c r="L24" s="51"/>
      <c r="M24" s="52"/>
    </row>
    <row r="25" spans="1:34">
      <c r="A25" s="45"/>
      <c r="B25" s="46" t="s">
        <v>66</v>
      </c>
      <c r="C25" s="41"/>
      <c r="D25" s="48"/>
      <c r="E25" s="48"/>
      <c r="F25" s="48"/>
      <c r="G25" s="48"/>
      <c r="H25" s="48"/>
      <c r="I25" s="48"/>
      <c r="J25" s="48"/>
      <c r="K25" s="48"/>
      <c r="L25" s="48"/>
      <c r="M25" s="49"/>
    </row>
    <row r="26" spans="1:34">
      <c r="A26" s="50"/>
      <c r="B26" s="44" t="s">
        <v>205</v>
      </c>
      <c r="C26" s="41"/>
      <c r="D26" s="51" t="e">
        <f>D20+D21+D22+#REF!+D23+#REF!+D25</f>
        <v>#REF!</v>
      </c>
      <c r="E26" s="51" t="e">
        <f>E20+E21+E22+E23+E24+#REF!+E25</f>
        <v>#REF!</v>
      </c>
      <c r="F26" s="51" t="e">
        <f>F20+F21+F22+F23+F24+#REF!+F25</f>
        <v>#REF!</v>
      </c>
      <c r="G26" s="51" t="e">
        <f>G20+G21+G22+G23+G24+#REF!+G25</f>
        <v>#REF!</v>
      </c>
      <c r="H26" s="51" t="e">
        <f>H20+H21+H22+H23+H24+#REF!+H25</f>
        <v>#REF!</v>
      </c>
      <c r="I26" s="51" t="e">
        <f>I20+I21+I22+I23+I24+#REF!+I25</f>
        <v>#REF!</v>
      </c>
      <c r="J26" s="51" t="e">
        <f>J20+J21+J22+J23+J24+#REF!+J25</f>
        <v>#REF!</v>
      </c>
      <c r="K26" s="51" t="e">
        <f>K20+K21+K22+K23+K24+#REF!+K25</f>
        <v>#REF!</v>
      </c>
      <c r="L26" s="51" t="e">
        <f>L20+L21+L22+L23+L24+#REF!+L25</f>
        <v>#REF!</v>
      </c>
      <c r="M26" s="52" t="e">
        <f>M20+M21+M22+M23+M24+#REF!+M25</f>
        <v>#REF!</v>
      </c>
    </row>
    <row r="27" spans="1:34">
      <c r="A27" s="45"/>
      <c r="B27" s="44" t="s">
        <v>210</v>
      </c>
      <c r="C27" s="41"/>
      <c r="D27" s="41"/>
      <c r="E27" s="41"/>
      <c r="F27" s="41"/>
      <c r="G27" s="41"/>
      <c r="H27" s="41"/>
      <c r="I27" s="41"/>
      <c r="J27" s="41"/>
      <c r="K27" s="41"/>
      <c r="L27" s="41"/>
      <c r="M27" s="42"/>
    </row>
    <row r="28" spans="1:34">
      <c r="A28" s="53"/>
      <c r="B28" s="44" t="s">
        <v>211</v>
      </c>
      <c r="C28" s="41"/>
      <c r="D28" s="41"/>
      <c r="E28" s="41"/>
      <c r="F28" s="41"/>
      <c r="G28" s="41"/>
      <c r="H28" s="41"/>
      <c r="I28" s="41"/>
      <c r="J28" s="41"/>
      <c r="K28" s="41"/>
      <c r="L28" s="41"/>
      <c r="M28" s="42"/>
    </row>
    <row r="29" spans="1:34">
      <c r="A29" s="53"/>
      <c r="B29" s="44"/>
      <c r="C29" s="41"/>
      <c r="D29" s="41"/>
      <c r="E29" s="41"/>
      <c r="F29" s="41"/>
      <c r="G29" s="41"/>
      <c r="H29" s="41"/>
      <c r="I29" s="41"/>
      <c r="J29" s="41"/>
      <c r="K29" s="41"/>
      <c r="L29" s="41"/>
      <c r="M29" s="42"/>
    </row>
    <row r="30" spans="1:34">
      <c r="A30" s="101" t="s">
        <v>223</v>
      </c>
      <c r="B30" s="44"/>
      <c r="C30" s="41"/>
      <c r="D30" s="18" t="s">
        <v>224</v>
      </c>
      <c r="E30" s="18" t="s">
        <v>225</v>
      </c>
      <c r="F30" s="18" t="s">
        <v>226</v>
      </c>
      <c r="G30" s="18" t="s">
        <v>227</v>
      </c>
      <c r="H30" s="18" t="s">
        <v>228</v>
      </c>
      <c r="I30" s="18" t="s">
        <v>229</v>
      </c>
      <c r="J30" s="18" t="s">
        <v>230</v>
      </c>
      <c r="K30" s="18" t="s">
        <v>231</v>
      </c>
      <c r="L30" s="18" t="s">
        <v>232</v>
      </c>
      <c r="M30" s="19" t="s">
        <v>233</v>
      </c>
      <c r="N30" s="18" t="s">
        <v>234</v>
      </c>
      <c r="O30" s="18" t="s">
        <v>235</v>
      </c>
      <c r="P30" s="18" t="s">
        <v>236</v>
      </c>
      <c r="Q30" s="18" t="s">
        <v>237</v>
      </c>
      <c r="R30" s="18" t="s">
        <v>238</v>
      </c>
    </row>
    <row r="31" spans="1:34">
      <c r="A31" s="45"/>
      <c r="B31" s="54"/>
      <c r="C31" s="41"/>
      <c r="D31" s="41"/>
      <c r="E31" s="41"/>
      <c r="F31" s="41"/>
      <c r="G31" s="41"/>
      <c r="H31" s="41"/>
      <c r="I31" s="41"/>
      <c r="J31" s="41"/>
      <c r="K31" s="41"/>
      <c r="L31" s="41"/>
      <c r="M31" s="42"/>
    </row>
    <row r="32" spans="1:34">
      <c r="A32" s="45"/>
      <c r="B32" s="55" t="s">
        <v>212</v>
      </c>
      <c r="C32" s="41"/>
      <c r="D32" s="51"/>
      <c r="E32" s="51"/>
      <c r="F32" s="51"/>
      <c r="G32" s="51"/>
      <c r="H32" s="51"/>
      <c r="I32" s="51"/>
      <c r="J32" s="51"/>
      <c r="K32" s="51"/>
      <c r="L32" s="51"/>
      <c r="M32" s="52"/>
    </row>
    <row r="33" spans="1:13">
      <c r="A33" s="45"/>
      <c r="B33" s="56" t="s">
        <v>213</v>
      </c>
      <c r="C33" s="41"/>
      <c r="D33" s="51"/>
      <c r="E33" s="51"/>
      <c r="F33" s="51"/>
      <c r="G33" s="51"/>
      <c r="H33" s="51"/>
      <c r="I33" s="51"/>
      <c r="J33" s="51"/>
      <c r="K33" s="51"/>
      <c r="L33" s="51"/>
      <c r="M33" s="52"/>
    </row>
    <row r="34" spans="1:13">
      <c r="A34" s="45"/>
      <c r="B34" s="56"/>
      <c r="C34" s="41"/>
      <c r="D34" s="51"/>
      <c r="E34" s="51"/>
      <c r="F34" s="51"/>
      <c r="G34" s="51"/>
      <c r="H34" s="51"/>
      <c r="I34" s="51"/>
      <c r="J34" s="51"/>
      <c r="K34" s="51"/>
      <c r="L34" s="51"/>
      <c r="M34" s="52"/>
    </row>
    <row r="35" spans="1:13">
      <c r="A35" s="45"/>
      <c r="B35" s="55" t="s">
        <v>214</v>
      </c>
      <c r="C35" s="41"/>
      <c r="D35" s="51"/>
      <c r="E35" s="51"/>
      <c r="F35" s="51"/>
      <c r="G35" s="51"/>
      <c r="H35" s="51"/>
      <c r="I35" s="51"/>
      <c r="J35" s="51"/>
      <c r="K35" s="51"/>
      <c r="L35" s="51"/>
      <c r="M35" s="52"/>
    </row>
    <row r="36" spans="1:13">
      <c r="A36" s="45"/>
      <c r="B36" s="56" t="s">
        <v>146</v>
      </c>
      <c r="C36" s="41"/>
      <c r="D36" s="51"/>
      <c r="E36" s="51"/>
      <c r="F36" s="51"/>
      <c r="G36" s="51"/>
      <c r="H36" s="51"/>
      <c r="I36" s="51"/>
      <c r="J36" s="51"/>
      <c r="K36" s="51"/>
      <c r="L36" s="51"/>
      <c r="M36" s="52"/>
    </row>
    <row r="37" spans="1:13">
      <c r="A37" s="45"/>
      <c r="B37" s="57" t="s">
        <v>215</v>
      </c>
      <c r="C37" s="41"/>
      <c r="D37" s="51"/>
      <c r="E37" s="51"/>
      <c r="F37" s="51"/>
      <c r="G37" s="51"/>
      <c r="H37" s="51"/>
      <c r="I37" s="51"/>
      <c r="J37" s="51"/>
      <c r="K37" s="51"/>
      <c r="L37" s="51"/>
      <c r="M37" s="52"/>
    </row>
    <row r="38" spans="1:13">
      <c r="A38" s="45"/>
      <c r="B38" s="58" t="s">
        <v>216</v>
      </c>
      <c r="C38" s="41"/>
      <c r="D38" s="51"/>
      <c r="E38" s="51"/>
      <c r="F38" s="51"/>
      <c r="G38" s="51"/>
      <c r="H38" s="51"/>
      <c r="I38" s="51"/>
      <c r="J38" s="51"/>
      <c r="K38" s="51"/>
      <c r="L38" s="51"/>
      <c r="M38" s="52"/>
    </row>
    <row r="39" spans="1:13">
      <c r="A39" s="45"/>
      <c r="B39" s="59" t="s">
        <v>217</v>
      </c>
      <c r="C39" s="41"/>
      <c r="D39" s="51"/>
      <c r="E39" s="51"/>
      <c r="F39" s="51"/>
      <c r="G39" s="51"/>
      <c r="H39" s="51"/>
      <c r="I39" s="51"/>
      <c r="J39" s="51"/>
      <c r="K39" s="51"/>
      <c r="L39" s="51"/>
      <c r="M39" s="52"/>
    </row>
    <row r="40" spans="1:13">
      <c r="A40" s="45"/>
      <c r="B40" s="60"/>
      <c r="C40" s="41"/>
      <c r="D40" s="51"/>
      <c r="E40" s="51"/>
      <c r="F40" s="51"/>
      <c r="G40" s="51"/>
      <c r="H40" s="51"/>
      <c r="I40" s="51"/>
      <c r="J40" s="51"/>
      <c r="K40" s="51"/>
      <c r="L40" s="51"/>
      <c r="M40" s="52"/>
    </row>
    <row r="41" spans="1:13">
      <c r="A41" s="61"/>
      <c r="B41" s="11" t="s">
        <v>150</v>
      </c>
      <c r="C41" s="41"/>
      <c r="D41" s="62"/>
      <c r="E41" s="62"/>
      <c r="F41" s="62"/>
      <c r="G41" s="62"/>
      <c r="H41" s="62"/>
      <c r="I41" s="62"/>
      <c r="J41" s="62"/>
      <c r="K41" s="62"/>
      <c r="L41" s="62"/>
      <c r="M41" s="63"/>
    </row>
    <row r="42" spans="1:13">
      <c r="A42" s="45"/>
      <c r="B42" s="100" t="s">
        <v>219</v>
      </c>
      <c r="C42" s="41"/>
      <c r="D42" s="41"/>
      <c r="E42" s="41"/>
      <c r="F42" s="41"/>
      <c r="G42" s="41"/>
      <c r="H42" s="41"/>
      <c r="I42" s="41"/>
      <c r="J42" s="41"/>
      <c r="K42" s="41"/>
      <c r="L42" s="41"/>
      <c r="M42" s="42"/>
    </row>
    <row r="43" spans="1:13">
      <c r="A43" s="64"/>
      <c r="B43" s="100" t="s">
        <v>220</v>
      </c>
      <c r="C43" s="41"/>
      <c r="D43" s="62"/>
      <c r="E43" s="62"/>
      <c r="F43" s="62"/>
      <c r="G43" s="62"/>
      <c r="H43" s="62"/>
      <c r="I43" s="62"/>
      <c r="J43" s="62"/>
      <c r="K43" s="62"/>
      <c r="L43" s="62"/>
      <c r="M43" s="63"/>
    </row>
    <row r="44" spans="1:13">
      <c r="A44" s="45"/>
      <c r="B44" s="100" t="s">
        <v>149</v>
      </c>
      <c r="C44" s="41"/>
      <c r="D44" s="41"/>
      <c r="E44" s="41"/>
      <c r="F44" s="41"/>
      <c r="G44" s="41"/>
      <c r="H44" s="41"/>
      <c r="I44" s="41"/>
      <c r="J44" s="41"/>
      <c r="K44" s="41"/>
      <c r="L44" s="41"/>
      <c r="M44" s="42"/>
    </row>
    <row r="45" spans="1:13">
      <c r="A45" s="65"/>
      <c r="B45" s="41"/>
      <c r="C45" s="41"/>
      <c r="D45" s="62"/>
      <c r="E45" s="62"/>
      <c r="F45" s="62"/>
      <c r="G45" s="62"/>
      <c r="H45" s="62"/>
      <c r="I45" s="62"/>
      <c r="J45" s="62"/>
      <c r="K45" s="62"/>
      <c r="L45" s="62"/>
      <c r="M45" s="63"/>
    </row>
    <row r="46" spans="1:13">
      <c r="A46" s="65"/>
      <c r="B46" s="11" t="s">
        <v>221</v>
      </c>
      <c r="C46" s="41"/>
      <c r="D46" s="51"/>
      <c r="E46" s="51"/>
      <c r="F46" s="51"/>
      <c r="G46" s="51"/>
      <c r="H46" s="51"/>
      <c r="I46" s="51"/>
      <c r="J46" s="51"/>
      <c r="K46" s="51"/>
      <c r="L46" s="51"/>
      <c r="M46" s="52"/>
    </row>
    <row r="47" spans="1:13">
      <c r="A47" s="65"/>
      <c r="B47" s="99" t="s">
        <v>75</v>
      </c>
      <c r="C47" s="41"/>
      <c r="D47" s="62"/>
      <c r="E47" s="62"/>
      <c r="F47" s="62"/>
      <c r="G47" s="62"/>
      <c r="H47" s="62"/>
      <c r="I47" s="62"/>
      <c r="J47" s="62"/>
      <c r="K47" s="62"/>
      <c r="L47" s="62"/>
      <c r="M47" s="63"/>
    </row>
    <row r="48" spans="1:13">
      <c r="A48" s="65"/>
      <c r="B48" s="99" t="s">
        <v>72</v>
      </c>
      <c r="C48" s="41"/>
      <c r="D48" s="41"/>
      <c r="E48" s="41"/>
      <c r="F48" s="41"/>
      <c r="G48" s="41"/>
      <c r="H48" s="41"/>
      <c r="I48" s="41"/>
      <c r="J48" s="41"/>
      <c r="K48" s="41"/>
      <c r="L48" s="41"/>
      <c r="M48" s="42"/>
    </row>
    <row r="49" spans="1:14">
      <c r="A49" s="66"/>
      <c r="B49" s="99" t="s">
        <v>70</v>
      </c>
      <c r="C49" s="41"/>
      <c r="D49" s="62"/>
      <c r="E49" s="62"/>
      <c r="F49" s="62"/>
      <c r="G49" s="62"/>
      <c r="H49" s="62"/>
      <c r="I49" s="62"/>
      <c r="J49" s="62"/>
      <c r="K49" s="62"/>
      <c r="L49" s="62"/>
      <c r="M49" s="63"/>
    </row>
    <row r="50" spans="1:14">
      <c r="A50" s="45"/>
      <c r="B50" s="99" t="s">
        <v>74</v>
      </c>
      <c r="C50" s="41"/>
      <c r="D50" s="41"/>
      <c r="E50" s="41"/>
      <c r="F50" s="41"/>
      <c r="G50" s="41"/>
      <c r="H50" s="41"/>
      <c r="I50" s="41"/>
      <c r="J50" s="41"/>
      <c r="K50" s="41"/>
      <c r="L50" s="41"/>
      <c r="M50" s="42"/>
    </row>
    <row r="51" spans="1:14">
      <c r="A51" s="45"/>
      <c r="B51" s="99" t="s">
        <v>222</v>
      </c>
      <c r="C51" s="41"/>
      <c r="D51" s="41"/>
      <c r="E51" s="41"/>
      <c r="F51" s="41"/>
      <c r="G51" s="41"/>
      <c r="H51" s="41"/>
      <c r="I51" s="41"/>
      <c r="J51" s="41"/>
      <c r="K51" s="41"/>
      <c r="L51" s="41"/>
      <c r="M51" s="42"/>
    </row>
    <row r="52" spans="1:14">
      <c r="A52" s="67"/>
      <c r="B52" s="12"/>
      <c r="C52" s="12"/>
      <c r="D52" s="41"/>
      <c r="E52" s="41"/>
      <c r="F52" s="41"/>
      <c r="G52" s="41"/>
      <c r="H52" s="41"/>
      <c r="I52" s="41"/>
      <c r="J52" s="41"/>
      <c r="K52" s="41"/>
      <c r="L52" s="41"/>
      <c r="M52" s="42"/>
    </row>
    <row r="53" spans="1:14">
      <c r="A53" s="45"/>
      <c r="B53" s="68"/>
      <c r="C53" s="41"/>
      <c r="D53" s="51"/>
      <c r="E53" s="51"/>
      <c r="F53" s="51"/>
      <c r="G53" s="51"/>
      <c r="H53" s="51"/>
      <c r="I53" s="51"/>
      <c r="J53" s="51"/>
      <c r="K53" s="51"/>
      <c r="L53" s="51"/>
      <c r="M53" s="52"/>
    </row>
    <row r="54" spans="1:14">
      <c r="A54" s="45"/>
      <c r="B54" s="68"/>
      <c r="C54" s="41"/>
      <c r="D54" s="51"/>
      <c r="E54" s="51"/>
      <c r="F54" s="51"/>
      <c r="G54" s="51"/>
      <c r="H54" s="51"/>
      <c r="I54" s="51"/>
      <c r="J54" s="51"/>
      <c r="K54" s="51"/>
      <c r="L54" s="51"/>
      <c r="M54" s="52"/>
    </row>
    <row r="55" spans="1:14">
      <c r="A55" s="45"/>
      <c r="B55" s="68"/>
      <c r="C55" s="41"/>
      <c r="D55" s="41"/>
      <c r="E55" s="41"/>
      <c r="F55" s="41"/>
      <c r="G55" s="41"/>
      <c r="H55" s="41"/>
      <c r="I55" s="41"/>
      <c r="J55" s="41"/>
      <c r="K55" s="41"/>
      <c r="L55" s="41"/>
      <c r="M55" s="42"/>
    </row>
    <row r="56" spans="1:14">
      <c r="A56" s="45"/>
      <c r="B56" s="69"/>
      <c r="C56" s="41"/>
      <c r="D56" s="41"/>
      <c r="E56" s="41"/>
      <c r="F56" s="41"/>
      <c r="G56" s="41"/>
      <c r="H56" s="41"/>
      <c r="I56" s="41"/>
      <c r="J56" s="41"/>
      <c r="K56" s="41"/>
      <c r="L56" s="41"/>
      <c r="M56" s="42"/>
    </row>
    <row r="57" spans="1:14">
      <c r="A57" s="45"/>
      <c r="B57" s="69"/>
      <c r="C57" s="41"/>
      <c r="D57" s="62"/>
      <c r="E57" s="62"/>
      <c r="F57" s="62"/>
      <c r="G57" s="62"/>
      <c r="H57" s="62"/>
      <c r="I57" s="62"/>
      <c r="J57" s="62"/>
      <c r="K57" s="62"/>
      <c r="L57" s="62"/>
      <c r="M57" s="63"/>
    </row>
    <row r="58" spans="1:14">
      <c r="A58" s="45"/>
      <c r="B58" s="69"/>
      <c r="C58" s="41"/>
      <c r="D58" s="91"/>
      <c r="E58" s="91"/>
      <c r="F58" s="91"/>
      <c r="G58" s="91"/>
      <c r="H58" s="91"/>
      <c r="I58" s="91"/>
      <c r="J58" s="91"/>
      <c r="K58" s="91"/>
      <c r="L58" s="91"/>
      <c r="M58" s="92"/>
    </row>
    <row r="59" spans="1:14">
      <c r="A59" s="45"/>
      <c r="B59" s="69"/>
      <c r="C59" s="41"/>
      <c r="D59" s="62"/>
      <c r="E59" s="62"/>
      <c r="F59" s="62"/>
      <c r="G59" s="62"/>
      <c r="H59" s="62"/>
      <c r="I59" s="62"/>
      <c r="J59" s="62"/>
      <c r="K59" s="62"/>
      <c r="L59" s="62"/>
      <c r="M59" s="63"/>
    </row>
    <row r="60" spans="1:14">
      <c r="A60" s="45"/>
      <c r="B60" s="70"/>
      <c r="C60" s="71"/>
      <c r="D60" s="41"/>
      <c r="E60" s="41"/>
      <c r="F60" s="41"/>
      <c r="G60" s="41"/>
      <c r="H60" s="41"/>
      <c r="I60" s="41"/>
      <c r="J60" s="41"/>
      <c r="K60" s="41"/>
      <c r="L60" s="41"/>
      <c r="M60" s="42"/>
    </row>
    <row r="61" spans="1:14">
      <c r="A61" s="45"/>
      <c r="B61" s="72"/>
      <c r="C61" s="41"/>
      <c r="D61" s="51"/>
      <c r="E61" s="51"/>
      <c r="F61" s="51"/>
      <c r="G61" s="51"/>
      <c r="H61" s="51"/>
      <c r="I61" s="51"/>
      <c r="J61" s="51"/>
      <c r="K61" s="51"/>
      <c r="L61" s="51"/>
      <c r="M61" s="52"/>
    </row>
    <row r="62" spans="1:14">
      <c r="A62" s="45"/>
      <c r="B62" s="73"/>
      <c r="C62" s="41"/>
      <c r="D62" s="93"/>
      <c r="E62" s="93"/>
      <c r="F62" s="93"/>
      <c r="G62" s="93"/>
      <c r="H62" s="93"/>
      <c r="I62" s="93"/>
      <c r="J62" s="93"/>
      <c r="K62" s="93"/>
      <c r="L62" s="93"/>
      <c r="M62" s="94"/>
      <c r="N62" s="74"/>
    </row>
    <row r="63" spans="1:14">
      <c r="A63" s="45"/>
      <c r="B63" s="75"/>
      <c r="C63" s="41"/>
      <c r="D63" s="51"/>
      <c r="E63" s="51"/>
      <c r="F63" s="51"/>
      <c r="G63" s="51"/>
      <c r="H63" s="51"/>
      <c r="I63" s="51"/>
      <c r="J63" s="51"/>
      <c r="K63" s="51"/>
      <c r="L63" s="51"/>
      <c r="M63" s="52"/>
    </row>
    <row r="64" spans="1:14">
      <c r="A64" s="45"/>
      <c r="B64" s="41"/>
      <c r="C64" s="41"/>
      <c r="D64" s="41"/>
      <c r="E64" s="41"/>
      <c r="F64" s="41"/>
      <c r="G64" s="41"/>
      <c r="H64" s="41"/>
      <c r="I64" s="41"/>
      <c r="J64" s="41"/>
      <c r="K64" s="41"/>
      <c r="L64" s="41"/>
      <c r="M64" s="42"/>
    </row>
    <row r="65" spans="1:13">
      <c r="A65" s="76"/>
      <c r="B65" s="11"/>
      <c r="C65" s="41"/>
      <c r="D65" s="41"/>
      <c r="E65" s="41"/>
      <c r="F65" s="41"/>
      <c r="G65" s="41"/>
      <c r="H65" s="41"/>
      <c r="I65" s="41"/>
      <c r="J65" s="41"/>
      <c r="K65" s="41"/>
      <c r="L65" s="41"/>
      <c r="M65" s="42"/>
    </row>
    <row r="66" spans="1:13">
      <c r="A66" s="45"/>
      <c r="B66" s="77"/>
      <c r="C66" s="77"/>
      <c r="D66" s="41"/>
      <c r="E66" s="41"/>
      <c r="F66" s="41"/>
      <c r="G66" s="41"/>
      <c r="H66" s="41"/>
      <c r="I66" s="41"/>
      <c r="J66" s="41"/>
      <c r="K66" s="41"/>
      <c r="L66" s="41"/>
      <c r="M66" s="42"/>
    </row>
    <row r="67" spans="1:13">
      <c r="A67" s="45"/>
      <c r="B67" s="78"/>
      <c r="C67" s="41"/>
      <c r="D67" s="51"/>
      <c r="E67" s="51"/>
      <c r="F67" s="51"/>
      <c r="G67" s="51"/>
      <c r="H67" s="51"/>
      <c r="I67" s="51"/>
      <c r="J67" s="51"/>
      <c r="K67" s="51"/>
      <c r="L67" s="51"/>
      <c r="M67" s="52"/>
    </row>
    <row r="68" spans="1:13">
      <c r="A68" s="45"/>
      <c r="B68" s="79"/>
      <c r="C68" s="41"/>
      <c r="D68" s="95"/>
      <c r="E68" s="95"/>
      <c r="F68" s="95"/>
      <c r="G68" s="95"/>
      <c r="H68" s="95"/>
      <c r="I68" s="95"/>
      <c r="J68" s="95"/>
      <c r="K68" s="95"/>
      <c r="L68" s="95"/>
      <c r="M68" s="96"/>
    </row>
    <row r="69" spans="1:13">
      <c r="A69" s="45"/>
      <c r="B69" s="11"/>
      <c r="C69" s="41"/>
      <c r="D69" s="41"/>
      <c r="E69" s="41"/>
      <c r="F69" s="41"/>
      <c r="G69" s="41"/>
      <c r="H69" s="41"/>
      <c r="I69" s="41"/>
      <c r="J69" s="41"/>
      <c r="K69" s="41"/>
      <c r="L69" s="41"/>
      <c r="M69" s="42"/>
    </row>
    <row r="70" spans="1:13">
      <c r="A70" s="80"/>
      <c r="B70" s="41"/>
      <c r="C70" s="41"/>
      <c r="D70" s="41"/>
      <c r="E70" s="41"/>
      <c r="F70" s="41"/>
      <c r="G70" s="41"/>
      <c r="H70" s="41"/>
      <c r="I70" s="41"/>
      <c r="J70" s="41"/>
      <c r="K70" s="41"/>
      <c r="L70" s="41"/>
      <c r="M70" s="42"/>
    </row>
    <row r="71" spans="1:13">
      <c r="A71" s="45"/>
      <c r="B71" s="81"/>
      <c r="C71" s="41"/>
      <c r="D71" s="51"/>
      <c r="E71" s="51"/>
      <c r="F71" s="51"/>
      <c r="G71" s="51"/>
      <c r="H71" s="51"/>
      <c r="I71" s="51"/>
      <c r="J71" s="51"/>
      <c r="K71" s="51"/>
      <c r="L71" s="51"/>
      <c r="M71" s="52"/>
    </row>
    <row r="72" spans="1:13">
      <c r="A72" s="45"/>
      <c r="B72" s="81"/>
      <c r="C72" s="41"/>
      <c r="D72" s="51"/>
      <c r="E72" s="51"/>
      <c r="F72" s="51"/>
      <c r="G72" s="51"/>
      <c r="H72" s="51"/>
      <c r="I72" s="51"/>
      <c r="J72" s="51"/>
      <c r="K72" s="51"/>
      <c r="L72" s="51"/>
      <c r="M72" s="52"/>
    </row>
    <row r="73" spans="1:13">
      <c r="A73" s="45"/>
      <c r="B73" s="81"/>
      <c r="C73" s="41"/>
      <c r="D73" s="51"/>
      <c r="E73" s="51"/>
      <c r="F73" s="51"/>
      <c r="G73" s="51"/>
      <c r="H73" s="51"/>
      <c r="I73" s="51"/>
      <c r="J73" s="51"/>
      <c r="K73" s="51"/>
      <c r="L73" s="51"/>
      <c r="M73" s="52"/>
    </row>
    <row r="74" spans="1:13">
      <c r="A74" s="45"/>
      <c r="B74" s="81"/>
      <c r="C74" s="41"/>
      <c r="D74" s="51"/>
      <c r="E74" s="51"/>
      <c r="F74" s="51"/>
      <c r="G74" s="51"/>
      <c r="H74" s="51"/>
      <c r="I74" s="51"/>
      <c r="J74" s="51"/>
      <c r="K74" s="51"/>
      <c r="L74" s="51"/>
      <c r="M74" s="52"/>
    </row>
    <row r="75" spans="1:13">
      <c r="A75" s="45"/>
      <c r="B75" s="81"/>
      <c r="C75" s="41"/>
      <c r="D75" s="97"/>
      <c r="E75" s="97"/>
      <c r="F75" s="97"/>
      <c r="G75" s="97"/>
      <c r="H75" s="97"/>
      <c r="I75" s="97"/>
      <c r="J75" s="97"/>
      <c r="K75" s="97"/>
      <c r="L75" s="97"/>
      <c r="M75" s="98"/>
    </row>
    <row r="76" spans="1:13">
      <c r="A76" s="45"/>
      <c r="B76" s="83"/>
      <c r="C76" s="41"/>
      <c r="D76" s="62"/>
      <c r="E76" s="62"/>
      <c r="F76" s="62"/>
      <c r="G76" s="62"/>
      <c r="H76" s="62"/>
      <c r="I76" s="62"/>
      <c r="J76" s="62"/>
      <c r="K76" s="62"/>
      <c r="L76" s="62"/>
      <c r="M76" s="63"/>
    </row>
    <row r="77" spans="1:13">
      <c r="A77" s="45"/>
      <c r="B77" s="41"/>
      <c r="C77" s="41"/>
      <c r="D77" s="41"/>
      <c r="E77" s="41"/>
      <c r="F77" s="41"/>
      <c r="G77" s="41"/>
      <c r="H77" s="41"/>
      <c r="I77" s="41"/>
      <c r="J77" s="41"/>
      <c r="K77" s="41"/>
      <c r="L77" s="41"/>
      <c r="M77" s="42"/>
    </row>
    <row r="78" spans="1:13">
      <c r="A78" s="84"/>
      <c r="B78" s="41"/>
      <c r="C78" s="41"/>
      <c r="D78" s="51"/>
      <c r="E78" s="51"/>
      <c r="F78" s="51"/>
      <c r="G78" s="51"/>
      <c r="H78" s="51"/>
      <c r="I78" s="51"/>
      <c r="J78" s="51"/>
      <c r="K78" s="51"/>
      <c r="L78" s="51"/>
      <c r="M78" s="52"/>
    </row>
    <row r="79" spans="1:13">
      <c r="A79" s="85"/>
      <c r="B79" s="41"/>
      <c r="C79" s="41"/>
      <c r="D79" s="41"/>
      <c r="E79" s="41"/>
      <c r="F79" s="41"/>
      <c r="G79" s="41"/>
      <c r="H79" s="41"/>
      <c r="I79" s="41"/>
      <c r="J79" s="41"/>
      <c r="K79" s="41"/>
      <c r="L79" s="41"/>
      <c r="M79" s="42"/>
    </row>
    <row r="80" spans="1:13">
      <c r="A80" s="86"/>
      <c r="B80" s="41"/>
      <c r="C80" s="41"/>
      <c r="D80" s="51"/>
      <c r="E80" s="51"/>
      <c r="F80" s="51"/>
      <c r="G80" s="51"/>
      <c r="H80" s="51"/>
      <c r="I80" s="51"/>
      <c r="J80" s="51"/>
      <c r="K80" s="51"/>
      <c r="L80" s="51"/>
      <c r="M80" s="52"/>
    </row>
    <row r="81" spans="1:13">
      <c r="A81" s="45"/>
      <c r="B81" s="41"/>
      <c r="C81" s="41"/>
      <c r="D81" s="41"/>
      <c r="E81" s="41"/>
      <c r="F81" s="41"/>
      <c r="G81" s="41"/>
      <c r="H81" s="41"/>
      <c r="I81" s="41"/>
      <c r="J81" s="41"/>
      <c r="K81" s="41"/>
      <c r="L81" s="41"/>
      <c r="M81" s="42"/>
    </row>
    <row r="82" spans="1:13">
      <c r="A82" s="86"/>
      <c r="B82" s="41"/>
      <c r="C82" s="41"/>
      <c r="D82" s="62"/>
      <c r="E82" s="62"/>
      <c r="F82" s="62"/>
      <c r="G82" s="62"/>
      <c r="H82" s="62"/>
      <c r="I82" s="62"/>
      <c r="J82" s="62"/>
      <c r="K82" s="62"/>
      <c r="L82" s="62"/>
      <c r="M82" s="63"/>
    </row>
    <row r="83" spans="1:13">
      <c r="A83" s="87"/>
      <c r="B83" s="88"/>
      <c r="C83" s="88"/>
      <c r="D83" s="88"/>
      <c r="E83" s="88"/>
      <c r="F83" s="88"/>
      <c r="G83" s="88"/>
      <c r="H83" s="88"/>
      <c r="I83" s="88"/>
      <c r="J83" s="88"/>
      <c r="K83" s="88"/>
      <c r="L83" s="88"/>
      <c r="M83" s="89"/>
    </row>
  </sheetData>
  <customSheetViews>
    <customSheetView guid="{2226E858-00AE-4A92-8CF6-5B54D2FA62D4}" showPageBreaks="1" state="hidden">
      <selection sqref="A1:M1"/>
      <pageMargins left="0.7" right="0.7" top="0.75" bottom="0.75" header="0.3" footer="0.3"/>
      <pageSetup orientation="portrait" r:id="rId1"/>
    </customSheetView>
  </customSheetViews>
  <mergeCells count="14">
    <mergeCell ref="A17:C17"/>
    <mergeCell ref="D16:M16"/>
    <mergeCell ref="A9:B9"/>
    <mergeCell ref="A10:B10"/>
    <mergeCell ref="E10:L13"/>
    <mergeCell ref="A12:B12"/>
    <mergeCell ref="A13:B13"/>
    <mergeCell ref="A14:B14"/>
    <mergeCell ref="A8:B8"/>
    <mergeCell ref="A1:M1"/>
    <mergeCell ref="K2:M2"/>
    <mergeCell ref="A5:B5"/>
    <mergeCell ref="A6:B6"/>
    <mergeCell ref="A7:B7"/>
  </mergeCells>
  <hyperlinks>
    <hyperlink ref="K2:M2" location="Index!A1" display="Return to Index"/>
  </hyperlinks>
  <pageMargins left="0.7" right="0.7" top="0.75" bottom="0.75" header="0.3" footer="0.3"/>
  <pageSetup orientation="portrait"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AS64"/>
  <sheetViews>
    <sheetView workbookViewId="0"/>
  </sheetViews>
  <sheetFormatPr defaultRowHeight="15"/>
  <cols>
    <col min="1" max="1" width="4.42578125" customWidth="1"/>
    <col min="2" max="2" width="40.42578125" bestFit="1" customWidth="1"/>
    <col min="3" max="3" width="8.140625" customWidth="1"/>
    <col min="4" max="4" width="9" customWidth="1"/>
    <col min="5" max="5" width="2.42578125" customWidth="1"/>
    <col min="6" max="6" width="8.140625" customWidth="1"/>
    <col min="7" max="7" width="9" customWidth="1"/>
    <col min="8" max="8" width="2.42578125" customWidth="1"/>
    <col min="9" max="9" width="8.140625" customWidth="1"/>
    <col min="10" max="10" width="8.85546875" customWidth="1"/>
    <col min="11" max="11" width="2.42578125" customWidth="1"/>
    <col min="12" max="12" width="9.140625" customWidth="1"/>
    <col min="13" max="13" width="8.85546875" customWidth="1"/>
    <col min="14" max="14" width="2.42578125" customWidth="1"/>
    <col min="15" max="15" width="8.42578125" customWidth="1"/>
    <col min="16" max="16" width="9" customWidth="1"/>
    <col min="17" max="17" width="2.5703125" customWidth="1"/>
    <col min="18" max="18" width="8.42578125" customWidth="1"/>
    <col min="19" max="19" width="9" customWidth="1"/>
    <col min="20" max="20" width="2.42578125" customWidth="1"/>
    <col min="21" max="21" width="8.7109375" bestFit="1" customWidth="1"/>
    <col min="22" max="22" width="8.5703125" customWidth="1"/>
    <col min="27" max="27" width="7.28515625" customWidth="1"/>
    <col min="28" max="28" width="5.5703125" customWidth="1"/>
  </cols>
  <sheetData>
    <row r="1" spans="1:22">
      <c r="A1" s="106"/>
      <c r="B1" s="107"/>
      <c r="C1" s="108" t="s">
        <v>297</v>
      </c>
      <c r="D1" s="108" t="s">
        <v>298</v>
      </c>
      <c r="E1" s="109"/>
      <c r="F1" s="108" t="s">
        <v>299</v>
      </c>
      <c r="G1" s="108" t="s">
        <v>300</v>
      </c>
      <c r="H1" s="110"/>
      <c r="I1" s="108" t="s">
        <v>301</v>
      </c>
      <c r="J1" s="108" t="s">
        <v>302</v>
      </c>
      <c r="K1" s="8"/>
      <c r="L1" s="108" t="s">
        <v>335</v>
      </c>
      <c r="M1" s="108" t="s">
        <v>336</v>
      </c>
      <c r="N1" s="8"/>
      <c r="O1" s="108" t="s">
        <v>337</v>
      </c>
      <c r="P1" s="108" t="s">
        <v>338</v>
      </c>
      <c r="Q1" s="8"/>
      <c r="R1" s="108" t="s">
        <v>339</v>
      </c>
      <c r="S1" s="108" t="s">
        <v>340</v>
      </c>
      <c r="T1" s="8"/>
      <c r="U1" s="108" t="s">
        <v>341</v>
      </c>
      <c r="V1" s="108" t="s">
        <v>342</v>
      </c>
    </row>
    <row r="2" spans="1:22" ht="24" customHeight="1">
      <c r="A2" s="106"/>
      <c r="B2" s="107"/>
      <c r="C2" s="644" t="s">
        <v>320</v>
      </c>
      <c r="D2" s="644"/>
      <c r="E2" s="156"/>
      <c r="F2" s="644" t="s">
        <v>348</v>
      </c>
      <c r="G2" s="644"/>
      <c r="H2" s="156"/>
      <c r="I2" s="644" t="s">
        <v>347</v>
      </c>
      <c r="J2" s="644"/>
      <c r="K2" s="157"/>
      <c r="L2" s="644" t="s">
        <v>346</v>
      </c>
      <c r="M2" s="644"/>
      <c r="N2" s="157"/>
      <c r="O2" s="644" t="s">
        <v>345</v>
      </c>
      <c r="P2" s="644"/>
      <c r="Q2" s="157"/>
      <c r="R2" s="644" t="s">
        <v>344</v>
      </c>
      <c r="S2" s="644"/>
      <c r="T2" s="157"/>
      <c r="U2" s="644" t="s">
        <v>349</v>
      </c>
      <c r="V2" s="644"/>
    </row>
    <row r="3" spans="1:22">
      <c r="A3" s="106"/>
      <c r="B3" s="107"/>
      <c r="C3" s="645"/>
      <c r="D3" s="645"/>
      <c r="E3" s="156"/>
      <c r="F3" s="645"/>
      <c r="G3" s="645"/>
      <c r="H3" s="156"/>
      <c r="I3" s="645"/>
      <c r="J3" s="645"/>
      <c r="K3" s="157"/>
      <c r="L3" s="645"/>
      <c r="M3" s="645"/>
      <c r="N3" s="157"/>
      <c r="O3" s="645"/>
      <c r="P3" s="645"/>
      <c r="Q3" s="157"/>
      <c r="R3" s="645"/>
      <c r="S3" s="645"/>
      <c r="T3" s="157"/>
      <c r="U3" s="645"/>
      <c r="V3" s="645"/>
    </row>
    <row r="4" spans="1:22">
      <c r="A4" s="106"/>
      <c r="B4" s="107"/>
      <c r="C4" s="112"/>
      <c r="D4" s="112"/>
      <c r="E4" s="107"/>
      <c r="F4" s="112"/>
      <c r="G4" s="112"/>
      <c r="H4" s="107"/>
      <c r="I4" s="112"/>
      <c r="J4" s="112"/>
      <c r="K4" s="8"/>
      <c r="L4" s="112"/>
      <c r="M4" s="112"/>
      <c r="N4" s="8"/>
      <c r="O4" s="112"/>
      <c r="P4" s="112"/>
      <c r="Q4" s="8"/>
      <c r="R4" s="112"/>
      <c r="S4" s="112"/>
      <c r="T4" s="8"/>
      <c r="U4" s="112"/>
      <c r="V4" s="112"/>
    </row>
    <row r="5" spans="1:22" ht="26.25">
      <c r="A5" s="107"/>
      <c r="B5" s="113" t="s">
        <v>303</v>
      </c>
      <c r="C5" s="158" t="s">
        <v>343</v>
      </c>
      <c r="D5" s="158" t="s">
        <v>304</v>
      </c>
      <c r="E5" s="159"/>
      <c r="F5" s="158" t="s">
        <v>343</v>
      </c>
      <c r="G5" s="158" t="s">
        <v>304</v>
      </c>
      <c r="H5" s="159"/>
      <c r="I5" s="158" t="s">
        <v>343</v>
      </c>
      <c r="J5" s="158" t="s">
        <v>304</v>
      </c>
      <c r="K5" s="157"/>
      <c r="L5" s="158" t="s">
        <v>343</v>
      </c>
      <c r="M5" s="158" t="s">
        <v>304</v>
      </c>
      <c r="N5" s="157"/>
      <c r="O5" s="158" t="s">
        <v>343</v>
      </c>
      <c r="P5" s="158" t="s">
        <v>304</v>
      </c>
      <c r="Q5" s="157"/>
      <c r="R5" s="158" t="s">
        <v>343</v>
      </c>
      <c r="S5" s="158" t="s">
        <v>304</v>
      </c>
      <c r="T5" s="157"/>
      <c r="U5" s="158" t="s">
        <v>343</v>
      </c>
      <c r="V5" s="158" t="s">
        <v>304</v>
      </c>
    </row>
    <row r="6" spans="1:22">
      <c r="A6" s="107"/>
      <c r="B6" s="107"/>
      <c r="C6" s="107"/>
      <c r="D6" s="107"/>
      <c r="E6" s="107"/>
      <c r="F6" s="107"/>
      <c r="G6" s="107"/>
      <c r="H6" s="107"/>
      <c r="I6" s="107"/>
      <c r="J6" s="114"/>
      <c r="K6" s="8"/>
      <c r="L6" s="107"/>
      <c r="M6" s="114"/>
      <c r="N6" s="8"/>
      <c r="O6" s="107"/>
      <c r="P6" s="114"/>
      <c r="Q6" s="8"/>
      <c r="R6" s="107"/>
      <c r="S6" s="114"/>
      <c r="T6" s="8"/>
      <c r="U6" s="107"/>
      <c r="V6" s="114"/>
    </row>
    <row r="7" spans="1:22">
      <c r="A7" s="646"/>
      <c r="B7" s="646"/>
      <c r="C7" s="107"/>
      <c r="D7" s="107"/>
      <c r="E7" s="107"/>
      <c r="F7" s="107"/>
      <c r="G7" s="107"/>
      <c r="H7" s="107"/>
      <c r="I7" s="107"/>
      <c r="J7" s="114"/>
      <c r="K7" s="8"/>
      <c r="L7" s="107"/>
      <c r="M7" s="114"/>
      <c r="N7" s="8"/>
      <c r="O7" s="107"/>
      <c r="P7" s="114"/>
      <c r="Q7" s="8"/>
      <c r="R7" s="107"/>
      <c r="S7" s="114"/>
      <c r="T7" s="8"/>
      <c r="U7" s="107"/>
      <c r="V7" s="114"/>
    </row>
    <row r="8" spans="1:22">
      <c r="A8" s="115">
        <v>1</v>
      </c>
      <c r="B8" s="115" t="s">
        <v>305</v>
      </c>
      <c r="C8" s="146">
        <f>(M35-I35)/1000</f>
        <v>15.499957914999976</v>
      </c>
      <c r="D8" s="116">
        <f>(C8/C20)*D20</f>
        <v>1.0735192771600448E-2</v>
      </c>
      <c r="E8" s="107"/>
      <c r="F8" s="146" t="e">
        <f>(O35-M35)/1000</f>
        <v>#REF!</v>
      </c>
      <c r="G8" s="116" t="e">
        <f>(F8/F20)*G20</f>
        <v>#REF!</v>
      </c>
      <c r="H8" s="107"/>
      <c r="I8" s="146" t="e">
        <f>(P35-O35)/1000</f>
        <v>#REF!</v>
      </c>
      <c r="J8" s="116" t="e">
        <f>(I8/I20)*J20</f>
        <v>#REF!</v>
      </c>
      <c r="K8" s="8"/>
      <c r="L8" s="146" t="e">
        <f>(R35-P35)/1000</f>
        <v>#REF!</v>
      </c>
      <c r="M8" s="116" t="e">
        <f>(L8/L20)*M20</f>
        <v>#REF!</v>
      </c>
      <c r="N8" s="8"/>
      <c r="O8" s="146" t="e">
        <f>(S35-R35)/1000</f>
        <v>#REF!</v>
      </c>
      <c r="P8" s="116" t="e">
        <f>(O8/O20)*P20</f>
        <v>#REF!</v>
      </c>
      <c r="Q8" s="8"/>
      <c r="R8" s="146" t="e">
        <f>(U35-S35)/1000</f>
        <v>#REF!</v>
      </c>
      <c r="S8" s="116" t="e">
        <f>(R8/R20)*S20</f>
        <v>#REF!</v>
      </c>
      <c r="T8" s="8"/>
      <c r="U8" s="146" t="e">
        <f>(V35-U35)/1000</f>
        <v>#REF!</v>
      </c>
      <c r="V8" s="116" t="e">
        <f>(U8/U20)*V20</f>
        <v>#REF!</v>
      </c>
    </row>
    <row r="9" spans="1:22">
      <c r="A9" s="107">
        <v>2</v>
      </c>
      <c r="B9" s="107" t="s">
        <v>306</v>
      </c>
      <c r="C9" s="147">
        <f>(M37-I37)/1000</f>
        <v>7.3484065000000118</v>
      </c>
      <c r="D9" s="117">
        <f>(C9/C20)*D20</f>
        <v>5.0894693246386138E-3</v>
      </c>
      <c r="E9" s="107"/>
      <c r="F9" s="147" t="e">
        <f>(O37-M37)/1000</f>
        <v>#REF!</v>
      </c>
      <c r="G9" s="117" t="e">
        <f>(F9/F20)*G20</f>
        <v>#REF!</v>
      </c>
      <c r="H9" s="107"/>
      <c r="I9" s="147" t="e">
        <f>(P37-O37)/1000</f>
        <v>#REF!</v>
      </c>
      <c r="J9" s="117" t="e">
        <f>(I9/I20)*J20</f>
        <v>#REF!</v>
      </c>
      <c r="K9" s="8"/>
      <c r="L9" s="147" t="e">
        <f>(R37-P37)/1000</f>
        <v>#REF!</v>
      </c>
      <c r="M9" s="117" t="e">
        <f>(L9/L20)*M20</f>
        <v>#REF!</v>
      </c>
      <c r="N9" s="8"/>
      <c r="O9" s="147" t="e">
        <f>(S37-R37)/1000</f>
        <v>#REF!</v>
      </c>
      <c r="P9" s="117" t="e">
        <f>(O9/O20)*P20</f>
        <v>#REF!</v>
      </c>
      <c r="Q9" s="8"/>
      <c r="R9" s="147" t="e">
        <f>(U37-S37)/1000</f>
        <v>#REF!</v>
      </c>
      <c r="S9" s="117" t="e">
        <f>(R9/R20)*S20</f>
        <v>#REF!</v>
      </c>
      <c r="T9" s="8"/>
      <c r="U9" s="147" t="e">
        <f>(V37-U37)/1000</f>
        <v>#REF!</v>
      </c>
      <c r="V9" s="117" t="e">
        <f>(U9/U20)*V20</f>
        <v>#REF!</v>
      </c>
    </row>
    <row r="10" spans="1:22">
      <c r="A10" s="115">
        <v>3</v>
      </c>
      <c r="B10" s="115" t="s">
        <v>307</v>
      </c>
      <c r="C10" s="146">
        <f>(M36-I36)/1000</f>
        <v>7.2429974999999978</v>
      </c>
      <c r="D10" s="116">
        <f>(C10/C20)*D20</f>
        <v>5.0164635822316176E-3</v>
      </c>
      <c r="E10" s="107"/>
      <c r="F10" s="146" t="e">
        <f>(O36-M36)/1000</f>
        <v>#REF!</v>
      </c>
      <c r="G10" s="116" t="e">
        <f>(F10/F20)*G20</f>
        <v>#REF!</v>
      </c>
      <c r="H10" s="107"/>
      <c r="I10" s="146" t="e">
        <f>(P36-O36)/1000</f>
        <v>#REF!</v>
      </c>
      <c r="J10" s="116" t="e">
        <f>(I10/I20)*J20</f>
        <v>#REF!</v>
      </c>
      <c r="K10" s="8"/>
      <c r="L10" s="146" t="e">
        <f>(R36-P36)/1000</f>
        <v>#REF!</v>
      </c>
      <c r="M10" s="116" t="e">
        <f>(L10/L20)*M20</f>
        <v>#REF!</v>
      </c>
      <c r="N10" s="8"/>
      <c r="O10" s="146" t="e">
        <f>(S36-R36)/1000</f>
        <v>#REF!</v>
      </c>
      <c r="P10" s="116" t="e">
        <f>(O10/O20)*P20</f>
        <v>#REF!</v>
      </c>
      <c r="Q10" s="8"/>
      <c r="R10" s="146" t="e">
        <f>(U36-S36)/1000</f>
        <v>#REF!</v>
      </c>
      <c r="S10" s="116" t="e">
        <f>(R10/R20)*S20</f>
        <v>#REF!</v>
      </c>
      <c r="T10" s="8"/>
      <c r="U10" s="146" t="e">
        <f>(V36-U36)/1000</f>
        <v>#REF!</v>
      </c>
      <c r="V10" s="116" t="e">
        <f>(U10/U20)*V20</f>
        <v>#REF!</v>
      </c>
    </row>
    <row r="11" spans="1:22">
      <c r="A11" s="107">
        <v>4</v>
      </c>
      <c r="B11" s="119" t="s">
        <v>308</v>
      </c>
      <c r="C11" s="148">
        <f>((M39-I39)+M40)/1000</f>
        <v>4.2453980000000007</v>
      </c>
      <c r="D11" s="120">
        <f>(C11/C20)*D20</f>
        <v>2.9403412688018952E-3</v>
      </c>
      <c r="E11" s="107"/>
      <c r="F11" s="148" t="e">
        <f>((O39-M39)+(O40-M40))/1000</f>
        <v>#REF!</v>
      </c>
      <c r="G11" s="120" t="e">
        <f>(F11/F20)*G20</f>
        <v>#REF!</v>
      </c>
      <c r="H11" s="107"/>
      <c r="I11" s="148" t="e">
        <f>((P39-O39)+P40)/1000</f>
        <v>#REF!</v>
      </c>
      <c r="J11" s="120" t="e">
        <f>(I11/I20)*J20</f>
        <v>#REF!</v>
      </c>
      <c r="K11" s="8"/>
      <c r="L11" s="148" t="e">
        <f>((R39-P39)+R40)/1000</f>
        <v>#REF!</v>
      </c>
      <c r="M11" s="120" t="e">
        <f>(L11/L20)*M20</f>
        <v>#REF!</v>
      </c>
      <c r="N11" s="8"/>
      <c r="O11" s="148" t="e">
        <f>((S39-R39))/1000</f>
        <v>#REF!</v>
      </c>
      <c r="P11" s="120" t="e">
        <f>(O11/O20)*P20</f>
        <v>#REF!</v>
      </c>
      <c r="Q11" s="8"/>
      <c r="R11" s="148" t="e">
        <f>((U39-S39))/1000</f>
        <v>#REF!</v>
      </c>
      <c r="S11" s="120" t="e">
        <f>(R11/R20)*S20</f>
        <v>#REF!</v>
      </c>
      <c r="T11" s="8"/>
      <c r="U11" s="148" t="e">
        <f>((V39-U39))/1000</f>
        <v>#REF!</v>
      </c>
      <c r="V11" s="120" t="e">
        <f>(U11/U20)*V20</f>
        <v>#REF!</v>
      </c>
    </row>
    <row r="12" spans="1:22">
      <c r="A12" s="121">
        <v>5</v>
      </c>
      <c r="B12" s="122" t="s">
        <v>309</v>
      </c>
      <c r="C12" s="149">
        <f>SUM(C8:C11)</f>
        <v>34.336759914999988</v>
      </c>
      <c r="D12" s="123">
        <f>SUM(D8:D11)</f>
        <v>2.3781466947272574E-2</v>
      </c>
      <c r="E12" s="124"/>
      <c r="F12" s="149" t="e">
        <f>SUM(F8:F11)</f>
        <v>#REF!</v>
      </c>
      <c r="G12" s="123" t="e">
        <f>SUM(G8:G11)</f>
        <v>#REF!</v>
      </c>
      <c r="H12" s="124"/>
      <c r="I12" s="149" t="e">
        <f>SUM(I8:I11)</f>
        <v>#REF!</v>
      </c>
      <c r="J12" s="123" t="e">
        <f>SUM(J8:J11)</f>
        <v>#REF!</v>
      </c>
      <c r="K12" s="8"/>
      <c r="L12" s="149" t="e">
        <f>SUM(L8:L11)</f>
        <v>#REF!</v>
      </c>
      <c r="M12" s="123" t="e">
        <f>SUM(M8:M11)</f>
        <v>#REF!</v>
      </c>
      <c r="N12" s="8"/>
      <c r="O12" s="149" t="e">
        <f>SUM(O8:O11)</f>
        <v>#REF!</v>
      </c>
      <c r="P12" s="123" t="e">
        <f>SUM(P8:P11)</f>
        <v>#REF!</v>
      </c>
      <c r="Q12" s="8"/>
      <c r="R12" s="149" t="e">
        <f>SUM(R8:R11)</f>
        <v>#REF!</v>
      </c>
      <c r="S12" s="123" t="e">
        <f>SUM(S8:S11)</f>
        <v>#REF!</v>
      </c>
      <c r="T12" s="8"/>
      <c r="U12" s="149" t="e">
        <f>SUM(U8:U11)</f>
        <v>#REF!</v>
      </c>
      <c r="V12" s="123" t="e">
        <f>SUM(V8:V11)</f>
        <v>#REF!</v>
      </c>
    </row>
    <row r="13" spans="1:22">
      <c r="A13" s="106"/>
      <c r="B13" s="124"/>
      <c r="C13" s="150"/>
      <c r="D13" s="106"/>
      <c r="E13" s="106"/>
      <c r="F13" s="150"/>
      <c r="G13" s="106"/>
      <c r="H13" s="106"/>
      <c r="I13" s="150"/>
      <c r="J13" s="106"/>
      <c r="K13" s="8"/>
      <c r="L13" s="150"/>
      <c r="M13" s="106"/>
      <c r="N13" s="8"/>
      <c r="O13" s="150"/>
      <c r="P13" s="106"/>
      <c r="Q13" s="8"/>
      <c r="R13" s="150"/>
      <c r="S13" s="106"/>
      <c r="T13" s="8"/>
      <c r="U13" s="150"/>
      <c r="V13" s="106"/>
    </row>
    <row r="14" spans="1:22" ht="17.25">
      <c r="A14" s="107">
        <v>6</v>
      </c>
      <c r="B14" s="107" t="s">
        <v>310</v>
      </c>
      <c r="C14" s="147">
        <f>(M38-I38)/1000</f>
        <v>8.0091995199999939</v>
      </c>
      <c r="D14" s="117">
        <f>(C14/C20)*D20</f>
        <v>5.5471312415760095E-3</v>
      </c>
      <c r="E14" s="106"/>
      <c r="F14" s="147" t="e">
        <f>(O38-M38)/1000</f>
        <v>#REF!</v>
      </c>
      <c r="G14" s="117" t="e">
        <f>(F14/F20)*G20</f>
        <v>#REF!</v>
      </c>
      <c r="H14" s="106"/>
      <c r="I14" s="147" t="e">
        <f>(P38-O38)/1000</f>
        <v>#REF!</v>
      </c>
      <c r="J14" s="117" t="e">
        <f>(I14/I20)*J20</f>
        <v>#REF!</v>
      </c>
      <c r="K14" s="8"/>
      <c r="L14" s="147" t="e">
        <f>(R38-P38)/1000</f>
        <v>#REF!</v>
      </c>
      <c r="M14" s="117" t="e">
        <f>(L14/L20)*M20</f>
        <v>#REF!</v>
      </c>
      <c r="N14" s="8"/>
      <c r="O14" s="147" t="e">
        <f>(S38-R38)/1000</f>
        <v>#REF!</v>
      </c>
      <c r="P14" s="117" t="e">
        <f>(O14/O20)*P20</f>
        <v>#REF!</v>
      </c>
      <c r="Q14" s="8"/>
      <c r="R14" s="147" t="e">
        <f>(U38-S38)/1000</f>
        <v>#REF!</v>
      </c>
      <c r="S14" s="117" t="e">
        <f>(R14/R20)*S20</f>
        <v>#REF!</v>
      </c>
      <c r="T14" s="8"/>
      <c r="U14" s="147" t="e">
        <f>(V38-U38)/1000</f>
        <v>#REF!</v>
      </c>
      <c r="V14" s="117" t="e">
        <f>(U14/U20)*V20</f>
        <v>#REF!</v>
      </c>
    </row>
    <row r="15" spans="1:22" ht="17.25">
      <c r="A15" s="125">
        <v>7</v>
      </c>
      <c r="B15" s="126" t="s">
        <v>311</v>
      </c>
      <c r="C15" s="151">
        <f>(M41-I41)/1000</f>
        <v>20</v>
      </c>
      <c r="D15" s="127">
        <f>(C15/C20)*D20</f>
        <v>1.3851899250915439E-2</v>
      </c>
      <c r="E15" s="107"/>
      <c r="F15" s="151" t="e">
        <f>(O41-M41)/1000</f>
        <v>#REF!</v>
      </c>
      <c r="G15" s="127" t="e">
        <f>(F15/F20)*G20</f>
        <v>#REF!</v>
      </c>
      <c r="H15" s="107"/>
      <c r="I15" s="151" t="e">
        <f>(P41-O41)/1000</f>
        <v>#REF!</v>
      </c>
      <c r="J15" s="127" t="e">
        <f>(I15/I20)*J20</f>
        <v>#REF!</v>
      </c>
      <c r="K15" s="8"/>
      <c r="L15" s="151" t="e">
        <f>(R41-P41)/1000</f>
        <v>#REF!</v>
      </c>
      <c r="M15" s="127" t="e">
        <f>(L15/L20)*M20</f>
        <v>#REF!</v>
      </c>
      <c r="N15" s="8"/>
      <c r="O15" s="151" t="e">
        <f>(S41-R41)/1000</f>
        <v>#REF!</v>
      </c>
      <c r="P15" s="127" t="e">
        <f>(O15/O20)*P20</f>
        <v>#REF!</v>
      </c>
      <c r="Q15" s="8"/>
      <c r="R15" s="151" t="e">
        <f>(U41-S41)/1000</f>
        <v>#REF!</v>
      </c>
      <c r="S15" s="127" t="e">
        <f>(R15/R20)*S20</f>
        <v>#REF!</v>
      </c>
      <c r="T15" s="8"/>
      <c r="U15" s="151" t="e">
        <f>(V41-U41)/1000</f>
        <v>#REF!</v>
      </c>
      <c r="V15" s="127" t="e">
        <f>(U15/U20)*V20</f>
        <v>#REF!</v>
      </c>
    </row>
    <row r="16" spans="1:22">
      <c r="A16" s="128">
        <v>8</v>
      </c>
      <c r="B16" s="129" t="s">
        <v>312</v>
      </c>
      <c r="C16" s="152">
        <f>SUM(C14:C15)</f>
        <v>28.009199519999996</v>
      </c>
      <c r="D16" s="130">
        <f>SUM(D14:D15)</f>
        <v>1.9399030492491448E-2</v>
      </c>
      <c r="E16" s="111"/>
      <c r="F16" s="152" t="e">
        <f>SUM(F14:F15)</f>
        <v>#REF!</v>
      </c>
      <c r="G16" s="130" t="e">
        <f>SUM(G14:G15)</f>
        <v>#REF!</v>
      </c>
      <c r="H16" s="111"/>
      <c r="I16" s="152" t="e">
        <f>SUM(I14:I15)</f>
        <v>#REF!</v>
      </c>
      <c r="J16" s="130" t="e">
        <f>SUM(J14:J15)</f>
        <v>#REF!</v>
      </c>
      <c r="K16" s="8"/>
      <c r="L16" s="152" t="e">
        <f>SUM(L14:L15)</f>
        <v>#REF!</v>
      </c>
      <c r="M16" s="130" t="e">
        <f>SUM(M14:M15)</f>
        <v>#REF!</v>
      </c>
      <c r="N16" s="8"/>
      <c r="O16" s="152" t="e">
        <f>SUM(O14:O15)</f>
        <v>#REF!</v>
      </c>
      <c r="P16" s="130" t="e">
        <f>SUM(P14:P15)</f>
        <v>#REF!</v>
      </c>
      <c r="Q16" s="8"/>
      <c r="R16" s="152" t="e">
        <f>SUM(R14:R15)</f>
        <v>#REF!</v>
      </c>
      <c r="S16" s="130" t="e">
        <f>SUM(S14:S15)</f>
        <v>#REF!</v>
      </c>
      <c r="T16" s="8"/>
      <c r="U16" s="152" t="e">
        <f>SUM(U14:U15)</f>
        <v>#REF!</v>
      </c>
      <c r="V16" s="130" t="e">
        <f>SUM(V14:V15)</f>
        <v>#REF!</v>
      </c>
    </row>
    <row r="17" spans="1:45">
      <c r="A17" s="107"/>
      <c r="B17" s="107"/>
      <c r="C17" s="118"/>
      <c r="D17" s="117"/>
      <c r="E17" s="107"/>
      <c r="F17" s="118"/>
      <c r="G17" s="117"/>
      <c r="H17" s="107"/>
      <c r="I17" s="118"/>
      <c r="J17" s="117"/>
      <c r="K17" s="8"/>
      <c r="L17" s="118"/>
      <c r="M17" s="117"/>
      <c r="N17" s="8"/>
      <c r="O17" s="118"/>
      <c r="P17" s="117"/>
      <c r="Q17" s="8"/>
      <c r="R17" s="118"/>
      <c r="S17" s="117"/>
      <c r="T17" s="8"/>
      <c r="U17" s="118"/>
      <c r="V17" s="117"/>
    </row>
    <row r="18" spans="1:45" ht="17.25">
      <c r="A18" s="131">
        <v>9</v>
      </c>
      <c r="B18" s="132" t="s">
        <v>313</v>
      </c>
      <c r="C18" s="153">
        <f>((M51-I51)/1000)-1</f>
        <v>12.733997555827024</v>
      </c>
      <c r="D18" s="134">
        <f>(C18/C20)*D20</f>
        <v>8.8195025602359669E-3</v>
      </c>
      <c r="E18" s="114"/>
      <c r="F18" s="153">
        <f>((O51-M51)/1000)</f>
        <v>30.733169016194182</v>
      </c>
      <c r="G18" s="134" t="e">
        <f>(F18/F20)*G20</f>
        <v>#REF!</v>
      </c>
      <c r="H18" s="114"/>
      <c r="I18" s="153">
        <f>((P51-O51)/1000)</f>
        <v>76.476542625373341</v>
      </c>
      <c r="J18" s="134" t="e">
        <f>(I18/I20)*J20</f>
        <v>#REF!</v>
      </c>
      <c r="K18" s="8"/>
      <c r="L18" s="153">
        <f>((R51-P51)/1000)</f>
        <v>48.835604842409957</v>
      </c>
      <c r="M18" s="134" t="e">
        <f>(L18/L20)*M20</f>
        <v>#REF!</v>
      </c>
      <c r="N18" s="8"/>
      <c r="O18" s="153">
        <f>((S51-R51)/1000)</f>
        <v>46.477943861636568</v>
      </c>
      <c r="P18" s="134" t="e">
        <f>(O18/O20)*P20</f>
        <v>#REF!</v>
      </c>
      <c r="Q18" s="8"/>
      <c r="R18" s="153">
        <f>((U51-S51)/1000)</f>
        <v>39.074810376699901</v>
      </c>
      <c r="S18" s="134" t="e">
        <f>(R18/R20)*S20</f>
        <v>#REF!</v>
      </c>
      <c r="T18" s="8"/>
      <c r="U18" s="153">
        <f>((V51-U51)/1000)</f>
        <v>46.898565818239121</v>
      </c>
      <c r="V18" s="134" t="e">
        <f>(U18/U20)*V20</f>
        <v>#REF!</v>
      </c>
    </row>
    <row r="19" spans="1:45">
      <c r="A19" s="107"/>
      <c r="B19" s="107"/>
      <c r="C19" s="107"/>
      <c r="D19" s="135"/>
      <c r="E19" s="107"/>
      <c r="F19" s="107"/>
      <c r="G19" s="135"/>
      <c r="H19" s="107"/>
      <c r="I19" s="107"/>
      <c r="J19" s="135"/>
      <c r="K19" s="8"/>
      <c r="L19" s="107"/>
      <c r="M19" s="135"/>
      <c r="N19" s="8"/>
      <c r="O19" s="107"/>
      <c r="P19" s="135"/>
      <c r="Q19" s="8"/>
      <c r="R19" s="107"/>
      <c r="S19" s="135"/>
      <c r="T19" s="8"/>
      <c r="U19" s="107"/>
      <c r="V19" s="135"/>
    </row>
    <row r="20" spans="1:45" ht="17.25">
      <c r="A20" s="131">
        <v>10</v>
      </c>
      <c r="B20" s="136" t="s">
        <v>328</v>
      </c>
      <c r="C20" s="154">
        <f>C12+C16+C18</f>
        <v>75.079956990827014</v>
      </c>
      <c r="D20" s="138">
        <v>5.1999999999999998E-2</v>
      </c>
      <c r="E20" s="139"/>
      <c r="F20" s="154" t="e">
        <f>F12+F16+F18</f>
        <v>#REF!</v>
      </c>
      <c r="G20" s="138">
        <v>8.6999999999999994E-2</v>
      </c>
      <c r="H20" s="139"/>
      <c r="I20" s="154" t="e">
        <f>I12+I16+I18</f>
        <v>#REF!</v>
      </c>
      <c r="J20" s="138">
        <v>0.03</v>
      </c>
      <c r="K20" s="8"/>
      <c r="L20" s="154" t="e">
        <f>L12+L16+L18</f>
        <v>#REF!</v>
      </c>
      <c r="M20" s="138">
        <v>1.2E-2</v>
      </c>
      <c r="N20" s="8"/>
      <c r="O20" s="154" t="e">
        <f>O12+O16+O18</f>
        <v>#REF!</v>
      </c>
      <c r="P20" s="138">
        <v>2.7E-2</v>
      </c>
      <c r="Q20" s="8"/>
      <c r="R20" s="154" t="e">
        <f>R12+R16+R18</f>
        <v>#REF!</v>
      </c>
      <c r="S20" s="138">
        <v>0.03</v>
      </c>
      <c r="T20" s="8"/>
      <c r="U20" s="154" t="e">
        <f>U12+U16+U18</f>
        <v>#REF!</v>
      </c>
      <c r="V20" s="138">
        <v>3.4000000000000002E-2</v>
      </c>
    </row>
    <row r="21" spans="1:45">
      <c r="A21" s="107"/>
      <c r="B21" s="107"/>
      <c r="C21" s="107"/>
      <c r="D21" s="135"/>
      <c r="E21" s="107"/>
      <c r="F21" s="107"/>
      <c r="G21" s="135"/>
      <c r="H21" s="107"/>
      <c r="I21" s="107"/>
      <c r="J21" s="135"/>
      <c r="K21" s="8"/>
      <c r="L21" s="8"/>
      <c r="M21" s="8"/>
      <c r="N21" s="8"/>
      <c r="O21" s="8"/>
      <c r="P21" s="8"/>
      <c r="Q21" s="8"/>
      <c r="R21" s="8"/>
      <c r="S21" s="8"/>
      <c r="T21" s="8"/>
      <c r="U21" s="8"/>
      <c r="V21" s="8"/>
    </row>
    <row r="22" spans="1:45" hidden="1">
      <c r="A22" s="131">
        <v>11</v>
      </c>
      <c r="B22" s="132" t="s">
        <v>314</v>
      </c>
      <c r="C22" s="133"/>
      <c r="D22" s="134">
        <f>-0.002</f>
        <v>-2E-3</v>
      </c>
      <c r="E22" s="114"/>
      <c r="F22" s="133"/>
      <c r="G22" s="134">
        <v>-1.4880000000000001E-2</v>
      </c>
      <c r="H22" s="114"/>
      <c r="I22" s="133"/>
      <c r="J22" s="138">
        <f>G22-D22</f>
        <v>-1.2880000000000001E-2</v>
      </c>
      <c r="K22" s="8"/>
      <c r="L22" s="8"/>
      <c r="M22" s="8"/>
      <c r="N22" s="8"/>
      <c r="O22" s="8"/>
      <c r="P22" s="8"/>
      <c r="Q22" s="8"/>
      <c r="R22" s="8"/>
      <c r="S22" s="8"/>
      <c r="T22" s="8"/>
      <c r="U22" s="8"/>
      <c r="V22" s="8"/>
    </row>
    <row r="23" spans="1:45" hidden="1">
      <c r="A23" s="107"/>
      <c r="B23" s="107"/>
      <c r="C23" s="107"/>
      <c r="D23" s="135"/>
      <c r="E23" s="107"/>
      <c r="F23" s="107"/>
      <c r="G23" s="135"/>
      <c r="H23" s="107"/>
      <c r="I23" s="107"/>
      <c r="J23" s="135"/>
      <c r="K23" s="8"/>
      <c r="L23" s="8"/>
      <c r="M23" s="8"/>
      <c r="N23" s="8"/>
      <c r="O23" s="8"/>
      <c r="P23" s="8"/>
      <c r="Q23" s="8"/>
      <c r="R23" s="8"/>
      <c r="S23" s="8"/>
      <c r="T23" s="8"/>
      <c r="U23" s="8"/>
      <c r="V23" s="8"/>
    </row>
    <row r="24" spans="1:45" ht="17.25" hidden="1">
      <c r="A24" s="131">
        <v>12</v>
      </c>
      <c r="B24" s="136" t="s">
        <v>315</v>
      </c>
      <c r="C24" s="137"/>
      <c r="D24" s="138">
        <f>D22+D20</f>
        <v>4.9999999999999996E-2</v>
      </c>
      <c r="E24" s="139"/>
      <c r="F24" s="137"/>
      <c r="G24" s="138">
        <f>G20+G22</f>
        <v>7.211999999999999E-2</v>
      </c>
      <c r="H24" s="139"/>
      <c r="I24" s="137"/>
      <c r="J24" s="138">
        <f>G24-D24</f>
        <v>2.2119999999999994E-2</v>
      </c>
      <c r="K24" s="8"/>
      <c r="L24" s="8"/>
      <c r="M24" s="8"/>
      <c r="N24" s="8"/>
      <c r="O24" s="8"/>
      <c r="P24" s="8"/>
      <c r="Q24" s="8"/>
      <c r="R24" s="8"/>
      <c r="S24" s="8"/>
      <c r="T24" s="8"/>
      <c r="U24" s="8"/>
      <c r="V24" s="8"/>
    </row>
    <row r="25" spans="1:45">
      <c r="A25" s="106"/>
      <c r="B25" s="106"/>
      <c r="C25" s="107"/>
      <c r="D25" s="106"/>
      <c r="E25" s="106"/>
      <c r="F25" s="106"/>
      <c r="G25" s="106"/>
      <c r="H25" s="106"/>
      <c r="I25" s="106"/>
      <c r="J25" s="106"/>
      <c r="K25" s="8"/>
      <c r="L25" s="8"/>
      <c r="M25" s="8"/>
      <c r="N25" s="8"/>
      <c r="O25" s="8"/>
      <c r="P25" s="8"/>
      <c r="Q25" s="8"/>
      <c r="R25" s="8"/>
      <c r="S25" s="8"/>
      <c r="T25" s="8"/>
      <c r="U25" s="8"/>
      <c r="V25" s="8"/>
    </row>
    <row r="26" spans="1:45">
      <c r="A26" s="107" t="s">
        <v>316</v>
      </c>
      <c r="B26" s="106"/>
      <c r="C26" s="106"/>
      <c r="D26" s="106"/>
      <c r="E26" s="106"/>
      <c r="F26" s="106"/>
      <c r="G26" s="106"/>
      <c r="H26" s="106"/>
      <c r="I26" s="106"/>
      <c r="J26" s="106"/>
      <c r="K26" s="8"/>
      <c r="L26" s="8"/>
      <c r="M26" s="8"/>
      <c r="N26" s="8"/>
      <c r="O26" s="8"/>
      <c r="P26" s="8"/>
      <c r="Q26" s="8"/>
      <c r="R26" s="8"/>
      <c r="S26" s="8"/>
      <c r="T26" s="8"/>
      <c r="U26" s="8"/>
      <c r="V26" s="8"/>
    </row>
    <row r="27" spans="1:45">
      <c r="A27" s="107" t="s">
        <v>317</v>
      </c>
      <c r="B27" s="106"/>
      <c r="C27" s="106"/>
      <c r="D27" s="106"/>
      <c r="E27" s="106"/>
      <c r="F27" s="106"/>
      <c r="G27" s="106"/>
      <c r="H27" s="106"/>
      <c r="I27" s="106"/>
      <c r="J27" s="106"/>
      <c r="K27" s="8"/>
      <c r="L27" s="8"/>
      <c r="M27" s="8"/>
      <c r="N27" s="8"/>
      <c r="O27" s="8"/>
      <c r="P27" s="8"/>
      <c r="Q27" s="8"/>
      <c r="R27" s="8"/>
      <c r="S27" s="8"/>
      <c r="T27" s="8"/>
      <c r="U27" s="8"/>
      <c r="V27" s="8"/>
    </row>
    <row r="28" spans="1:45">
      <c r="A28" s="107" t="s">
        <v>318</v>
      </c>
      <c r="B28" s="106"/>
      <c r="C28" s="106"/>
      <c r="D28" s="106"/>
      <c r="E28" s="106"/>
      <c r="F28" s="106"/>
      <c r="G28" s="106"/>
      <c r="H28" s="106"/>
      <c r="I28" s="106"/>
      <c r="J28" s="106"/>
      <c r="K28" s="8"/>
      <c r="L28" s="8"/>
      <c r="M28" s="8"/>
      <c r="N28" s="8"/>
      <c r="O28" s="8"/>
      <c r="P28" s="8"/>
      <c r="Q28" s="8"/>
      <c r="R28" s="8"/>
      <c r="S28" s="8"/>
      <c r="T28" s="8"/>
      <c r="U28" s="8"/>
      <c r="V28" s="8"/>
    </row>
    <row r="29" spans="1:45">
      <c r="A29" s="107" t="s">
        <v>319</v>
      </c>
      <c r="B29" s="106"/>
      <c r="C29" s="106"/>
      <c r="D29" s="106"/>
      <c r="E29" s="106"/>
      <c r="F29" s="106"/>
      <c r="G29" s="106"/>
      <c r="H29" s="106"/>
      <c r="I29" s="106"/>
      <c r="J29" s="106"/>
      <c r="K29" s="8"/>
      <c r="L29" s="8"/>
      <c r="M29" s="8"/>
      <c r="N29" s="8"/>
      <c r="O29" s="8"/>
      <c r="P29" s="8"/>
      <c r="Q29" s="8"/>
      <c r="R29" s="8"/>
      <c r="S29" s="8"/>
      <c r="T29" s="8"/>
      <c r="U29" s="8"/>
      <c r="V29" s="8"/>
    </row>
    <row r="30" spans="1:45">
      <c r="K30" s="8"/>
      <c r="L30" s="8"/>
      <c r="M30" s="8"/>
      <c r="N30" s="8"/>
      <c r="O30" s="8"/>
      <c r="P30" s="8"/>
      <c r="Q30" s="8"/>
      <c r="R30" s="8"/>
      <c r="S30" s="8"/>
      <c r="T30" s="8"/>
      <c r="U30" s="8"/>
      <c r="V30" s="8"/>
    </row>
    <row r="31" spans="1:45" ht="15.75" thickBot="1">
      <c r="L31" s="103"/>
    </row>
    <row r="32" spans="1:45">
      <c r="A32" s="632" t="s">
        <v>84</v>
      </c>
      <c r="B32" s="633"/>
      <c r="C32" s="633"/>
      <c r="D32" s="14"/>
      <c r="E32" s="14"/>
      <c r="F32" s="160"/>
      <c r="G32" s="160"/>
      <c r="H32" s="161"/>
      <c r="I32" s="162" t="s">
        <v>321</v>
      </c>
      <c r="J32" s="161"/>
      <c r="K32" s="160"/>
      <c r="L32" s="160"/>
      <c r="M32" s="162" t="s">
        <v>321</v>
      </c>
      <c r="N32" s="161"/>
      <c r="O32" s="162" t="s">
        <v>321</v>
      </c>
      <c r="P32" s="162" t="s">
        <v>321</v>
      </c>
      <c r="Q32" s="161"/>
      <c r="R32" s="162" t="s">
        <v>321</v>
      </c>
      <c r="S32" s="162" t="s">
        <v>321</v>
      </c>
      <c r="T32" s="161"/>
      <c r="U32" s="162" t="s">
        <v>321</v>
      </c>
      <c r="V32" s="162" t="s">
        <v>321</v>
      </c>
      <c r="X32" s="2"/>
      <c r="Y32" s="2"/>
      <c r="Z32" s="2"/>
      <c r="AA32" s="2"/>
      <c r="AB32" s="2"/>
      <c r="AC32" s="176" t="s">
        <v>321</v>
      </c>
      <c r="AD32" s="176" t="s">
        <v>321</v>
      </c>
      <c r="AE32" s="176" t="s">
        <v>321</v>
      </c>
      <c r="AF32" s="176" t="s">
        <v>321</v>
      </c>
      <c r="AG32" s="176" t="s">
        <v>321</v>
      </c>
      <c r="AH32" s="176" t="s">
        <v>321</v>
      </c>
      <c r="AI32" s="176" t="s">
        <v>321</v>
      </c>
      <c r="AJ32" s="176" t="s">
        <v>321</v>
      </c>
      <c r="AK32" s="102"/>
      <c r="AL32" s="179"/>
      <c r="AM32" s="102"/>
      <c r="AN32" s="102"/>
      <c r="AO32" s="179"/>
      <c r="AP32" s="102"/>
      <c r="AQ32" s="102"/>
      <c r="AR32" s="102"/>
      <c r="AS32" s="102"/>
    </row>
    <row r="33" spans="1:45">
      <c r="A33" s="15"/>
      <c r="B33" s="14"/>
      <c r="C33" s="14"/>
      <c r="D33" s="14"/>
      <c r="E33" s="14"/>
      <c r="F33" s="643" t="s">
        <v>325</v>
      </c>
      <c r="G33" s="643"/>
      <c r="H33" s="161"/>
      <c r="I33" s="163" t="s">
        <v>322</v>
      </c>
      <c r="J33" s="161"/>
      <c r="K33" s="643" t="s">
        <v>326</v>
      </c>
      <c r="L33" s="643"/>
      <c r="M33" s="163" t="s">
        <v>327</v>
      </c>
      <c r="N33" s="161"/>
      <c r="O33" s="163" t="s">
        <v>329</v>
      </c>
      <c r="P33" s="163" t="s">
        <v>330</v>
      </c>
      <c r="Q33" s="161"/>
      <c r="R33" s="163" t="s">
        <v>331</v>
      </c>
      <c r="S33" s="163" t="s">
        <v>332</v>
      </c>
      <c r="T33" s="161"/>
      <c r="U33" s="163" t="s">
        <v>333</v>
      </c>
      <c r="V33" s="163" t="s">
        <v>334</v>
      </c>
      <c r="X33" s="173" t="s">
        <v>324</v>
      </c>
      <c r="Y33" s="6"/>
      <c r="Z33" s="6"/>
      <c r="AA33" s="6"/>
      <c r="AB33" s="6"/>
      <c r="AC33" s="180" t="s">
        <v>322</v>
      </c>
      <c r="AD33" s="180" t="s">
        <v>327</v>
      </c>
      <c r="AE33" s="180" t="s">
        <v>329</v>
      </c>
      <c r="AF33" s="180" t="s">
        <v>330</v>
      </c>
      <c r="AG33" s="180" t="s">
        <v>331</v>
      </c>
      <c r="AH33" s="180" t="s">
        <v>332</v>
      </c>
      <c r="AI33" s="180" t="s">
        <v>333</v>
      </c>
      <c r="AJ33" s="180" t="s">
        <v>334</v>
      </c>
      <c r="AK33" s="102"/>
      <c r="AL33" s="179"/>
      <c r="AM33" s="102"/>
      <c r="AN33" s="102"/>
      <c r="AO33" s="179"/>
      <c r="AP33" s="102"/>
      <c r="AQ33" s="102"/>
      <c r="AR33" s="102"/>
      <c r="AS33" s="102"/>
    </row>
    <row r="34" spans="1:45">
      <c r="A34" s="13" t="s">
        <v>62</v>
      </c>
      <c r="B34" s="14"/>
      <c r="C34" s="14"/>
      <c r="D34" s="14"/>
      <c r="E34" s="14"/>
      <c r="F34" s="160">
        <v>2014</v>
      </c>
      <c r="G34" s="160">
        <v>2015</v>
      </c>
      <c r="H34" s="161"/>
      <c r="I34" s="164"/>
      <c r="J34" s="160">
        <v>2016</v>
      </c>
      <c r="K34" s="161"/>
      <c r="L34" s="160">
        <v>2017</v>
      </c>
      <c r="M34" s="164"/>
      <c r="N34" s="161"/>
      <c r="O34" s="164"/>
      <c r="P34" s="164"/>
      <c r="Q34" s="161"/>
      <c r="R34" s="164"/>
      <c r="S34" s="164"/>
      <c r="T34" s="161"/>
      <c r="U34" s="164"/>
      <c r="V34" s="164"/>
      <c r="X34" s="174" t="s">
        <v>66</v>
      </c>
      <c r="Y34" s="2"/>
      <c r="Z34" s="2"/>
      <c r="AA34" s="2"/>
      <c r="AB34" s="2"/>
      <c r="AC34" s="175">
        <f>I42</f>
        <v>197303</v>
      </c>
      <c r="AD34" s="175">
        <f>M42</f>
        <v>249531.19361328415</v>
      </c>
      <c r="AE34" s="175" t="e">
        <f>O42</f>
        <v>#REF!</v>
      </c>
      <c r="AF34" s="175" t="e">
        <f>P42</f>
        <v>#REF!</v>
      </c>
      <c r="AG34" s="175" t="e">
        <f>R42</f>
        <v>#REF!</v>
      </c>
      <c r="AH34" s="175" t="e">
        <f>S42</f>
        <v>#REF!</v>
      </c>
      <c r="AI34" s="175" t="e">
        <f>U42</f>
        <v>#REF!</v>
      </c>
      <c r="AJ34" s="175" t="e">
        <f>V42</f>
        <v>#REF!</v>
      </c>
      <c r="AK34" s="102"/>
      <c r="AL34" s="179"/>
      <c r="AM34" s="102"/>
      <c r="AN34" s="102"/>
      <c r="AO34" s="179"/>
      <c r="AP34" s="102"/>
      <c r="AQ34" s="102"/>
      <c r="AR34" s="102"/>
      <c r="AS34" s="102"/>
    </row>
    <row r="35" spans="1:45">
      <c r="A35" s="15"/>
      <c r="B35" s="104" t="s">
        <v>14</v>
      </c>
      <c r="C35" s="14"/>
      <c r="D35" s="14"/>
      <c r="E35" s="14"/>
      <c r="F35" s="165">
        <v>140729</v>
      </c>
      <c r="G35" s="165">
        <v>144346</v>
      </c>
      <c r="H35" s="161"/>
      <c r="I35" s="166">
        <f t="shared" ref="I35:I43" si="0">AVERAGE(F35:G35)</f>
        <v>142537.5</v>
      </c>
      <c r="J35" s="165">
        <v>155274.46953</v>
      </c>
      <c r="K35" s="161"/>
      <c r="L35" s="165">
        <v>160800.44629999998</v>
      </c>
      <c r="M35" s="166">
        <f t="shared" ref="M35:M43" si="1">AVERAGE(J35:L35)</f>
        <v>158037.45791499998</v>
      </c>
      <c r="N35" s="161"/>
      <c r="O35" s="166" t="e">
        <f>AVERAGE('Revenue Requirement'!#REF!)</f>
        <v>#REF!</v>
      </c>
      <c r="P35" s="166" t="e">
        <f>AVERAGE('Revenue Requirement'!#REF!)</f>
        <v>#REF!</v>
      </c>
      <c r="Q35" s="161"/>
      <c r="R35" s="166" t="e">
        <f>AVERAGE('Revenue Requirement'!#REF!)</f>
        <v>#REF!</v>
      </c>
      <c r="S35" s="166" t="e">
        <f>AVERAGE('Revenue Requirement'!#REF!)</f>
        <v>#REF!</v>
      </c>
      <c r="T35" s="161"/>
      <c r="U35" s="166" t="e">
        <f>AVERAGE('Revenue Requirement'!#REF!)</f>
        <v>#REF!</v>
      </c>
      <c r="V35" s="166" t="e">
        <f>AVERAGE('Revenue Requirement'!#REF!)</f>
        <v>#REF!</v>
      </c>
      <c r="X35" s="178" t="s">
        <v>76</v>
      </c>
      <c r="Y35" s="2"/>
      <c r="Z35" s="2"/>
      <c r="AA35" s="2"/>
      <c r="AB35" s="2"/>
      <c r="AC35" s="175">
        <f>I45</f>
        <v>151868.5</v>
      </c>
      <c r="AD35" s="175">
        <f>M45</f>
        <v>154042.02331722312</v>
      </c>
      <c r="AE35" s="175" t="e">
        <f>O45</f>
        <v>#REF!</v>
      </c>
      <c r="AF35" s="175" t="e">
        <f>P45</f>
        <v>#REF!</v>
      </c>
      <c r="AG35" s="175" t="e">
        <f>R45</f>
        <v>#REF!</v>
      </c>
      <c r="AH35" s="175" t="e">
        <f>S45</f>
        <v>#REF!</v>
      </c>
      <c r="AI35" s="175" t="e">
        <f>U45</f>
        <v>#REF!</v>
      </c>
      <c r="AJ35" s="175" t="e">
        <f>V45</f>
        <v>#REF!</v>
      </c>
      <c r="AK35" s="102"/>
      <c r="AL35" s="179"/>
      <c r="AM35" s="102"/>
      <c r="AN35" s="102"/>
      <c r="AO35" s="179"/>
      <c r="AP35" s="102"/>
      <c r="AQ35" s="102"/>
      <c r="AR35" s="102"/>
      <c r="AS35" s="102"/>
    </row>
    <row r="36" spans="1:45">
      <c r="A36" s="15"/>
      <c r="B36" s="104" t="s">
        <v>15</v>
      </c>
      <c r="C36" s="14"/>
      <c r="D36" s="14"/>
      <c r="E36" s="14"/>
      <c r="F36" s="165">
        <v>41638</v>
      </c>
      <c r="G36" s="165">
        <v>41769</v>
      </c>
      <c r="H36" s="161"/>
      <c r="I36" s="166">
        <f t="shared" si="0"/>
        <v>41703.5</v>
      </c>
      <c r="J36" s="165">
        <v>48746.031000000003</v>
      </c>
      <c r="K36" s="161"/>
      <c r="L36" s="165">
        <v>49146.964</v>
      </c>
      <c r="M36" s="166">
        <f t="shared" si="1"/>
        <v>48946.497499999998</v>
      </c>
      <c r="N36" s="161"/>
      <c r="O36" s="166" t="e">
        <f>AVERAGE('Revenue Requirement'!#REF!)</f>
        <v>#REF!</v>
      </c>
      <c r="P36" s="166" t="e">
        <f>AVERAGE('Revenue Requirement'!#REF!)</f>
        <v>#REF!</v>
      </c>
      <c r="Q36" s="161"/>
      <c r="R36" s="166" t="e">
        <f>AVERAGE('Revenue Requirement'!#REF!)</f>
        <v>#REF!</v>
      </c>
      <c r="S36" s="166" t="e">
        <f>AVERAGE('Revenue Requirement'!#REF!)</f>
        <v>#REF!</v>
      </c>
      <c r="T36" s="161"/>
      <c r="U36" s="166" t="e">
        <f>AVERAGE('Revenue Requirement'!#REF!)</f>
        <v>#REF!</v>
      </c>
      <c r="V36" s="166" t="e">
        <f>AVERAGE('Revenue Requirement'!#REF!)</f>
        <v>#REF!</v>
      </c>
      <c r="X36" s="177" t="s">
        <v>148</v>
      </c>
      <c r="Y36" s="2"/>
      <c r="Z36" s="2"/>
      <c r="AA36" s="2"/>
      <c r="AB36" s="2"/>
      <c r="AC36" s="181">
        <f>I49</f>
        <v>138796</v>
      </c>
      <c r="AD36" s="181">
        <f>M49</f>
        <v>98128.280625319749</v>
      </c>
      <c r="AE36" s="181" t="e">
        <f>O49</f>
        <v>#REF!</v>
      </c>
      <c r="AF36" s="181" t="e">
        <f>P49</f>
        <v>#REF!</v>
      </c>
      <c r="AG36" s="181" t="e">
        <f>R49</f>
        <v>#REF!</v>
      </c>
      <c r="AH36" s="181" t="e">
        <f>S49</f>
        <v>#REF!</v>
      </c>
      <c r="AI36" s="181" t="e">
        <f>U49</f>
        <v>#REF!</v>
      </c>
      <c r="AJ36" s="181" t="e">
        <f>V49</f>
        <v>#REF!</v>
      </c>
      <c r="AK36" s="102"/>
      <c r="AL36" s="179"/>
      <c r="AM36" s="102"/>
      <c r="AN36" s="102"/>
      <c r="AO36" s="179"/>
      <c r="AP36" s="102"/>
      <c r="AQ36" s="102"/>
      <c r="AR36" s="102"/>
      <c r="AS36" s="102"/>
    </row>
    <row r="37" spans="1:45">
      <c r="A37" s="15"/>
      <c r="B37" s="104" t="s">
        <v>323</v>
      </c>
      <c r="C37" s="14"/>
      <c r="D37" s="14"/>
      <c r="E37" s="14"/>
      <c r="F37" s="165">
        <v>154234</v>
      </c>
      <c r="G37" s="165">
        <v>157893</v>
      </c>
      <c r="H37" s="161"/>
      <c r="I37" s="166">
        <f t="shared" si="0"/>
        <v>156063.5</v>
      </c>
      <c r="J37" s="165">
        <v>162551.64000000001</v>
      </c>
      <c r="K37" s="161"/>
      <c r="L37" s="165">
        <v>164272.17300000001</v>
      </c>
      <c r="M37" s="166">
        <f t="shared" si="1"/>
        <v>163411.90650000001</v>
      </c>
      <c r="N37" s="161"/>
      <c r="O37" s="166" t="e">
        <f>AVERAGE('Revenue Requirement'!#REF!)</f>
        <v>#REF!</v>
      </c>
      <c r="P37" s="166" t="e">
        <f>AVERAGE('Revenue Requirement'!#REF!)</f>
        <v>#REF!</v>
      </c>
      <c r="Q37" s="161"/>
      <c r="R37" s="166" t="e">
        <f>AVERAGE('Revenue Requirement'!#REF!)</f>
        <v>#REF!</v>
      </c>
      <c r="S37" s="166" t="e">
        <f>AVERAGE('Revenue Requirement'!#REF!)</f>
        <v>#REF!</v>
      </c>
      <c r="T37" s="161"/>
      <c r="U37" s="166" t="e">
        <f>AVERAGE('Revenue Requirement'!#REF!)</f>
        <v>#REF!</v>
      </c>
      <c r="V37" s="166" t="e">
        <f>AVERAGE('Revenue Requirement'!#REF!)</f>
        <v>#REF!</v>
      </c>
      <c r="X37" s="2"/>
      <c r="Y37" s="2"/>
      <c r="Z37" s="2"/>
      <c r="AA37" s="2"/>
      <c r="AB37" s="2"/>
      <c r="AC37" s="175">
        <f t="shared" ref="AC37:AJ37" si="2">SUM(AC34:AC36)</f>
        <v>487967.5</v>
      </c>
      <c r="AD37" s="175">
        <f t="shared" si="2"/>
        <v>501701.49755582702</v>
      </c>
      <c r="AE37" s="175" t="e">
        <f t="shared" si="2"/>
        <v>#REF!</v>
      </c>
      <c r="AF37" s="175" t="e">
        <f t="shared" si="2"/>
        <v>#REF!</v>
      </c>
      <c r="AG37" s="175" t="e">
        <f t="shared" si="2"/>
        <v>#REF!</v>
      </c>
      <c r="AH37" s="175" t="e">
        <f t="shared" si="2"/>
        <v>#REF!</v>
      </c>
      <c r="AI37" s="175" t="e">
        <f t="shared" si="2"/>
        <v>#REF!</v>
      </c>
      <c r="AJ37" s="175" t="e">
        <f t="shared" si="2"/>
        <v>#REF!</v>
      </c>
      <c r="AK37" s="102"/>
      <c r="AL37" s="179"/>
      <c r="AM37" s="102"/>
      <c r="AN37" s="102"/>
      <c r="AO37" s="179"/>
      <c r="AP37" s="102"/>
      <c r="AQ37" s="102"/>
      <c r="AR37" s="102"/>
      <c r="AS37" s="102"/>
    </row>
    <row r="38" spans="1:45">
      <c r="A38" s="15"/>
      <c r="B38" s="104" t="s">
        <v>63</v>
      </c>
      <c r="C38" s="14"/>
      <c r="D38" s="14"/>
      <c r="E38" s="14"/>
      <c r="F38" s="165">
        <v>131287</v>
      </c>
      <c r="G38" s="165">
        <v>134244</v>
      </c>
      <c r="H38" s="161"/>
      <c r="I38" s="166">
        <f t="shared" si="0"/>
        <v>132765.5</v>
      </c>
      <c r="J38" s="165">
        <v>140766.91652</v>
      </c>
      <c r="K38" s="161"/>
      <c r="L38" s="165">
        <v>140782.48251999999</v>
      </c>
      <c r="M38" s="166">
        <f t="shared" si="1"/>
        <v>140774.69951999999</v>
      </c>
      <c r="N38" s="161"/>
      <c r="O38" s="166" t="e">
        <f>AVERAGE('Revenue Requirement'!#REF!)</f>
        <v>#REF!</v>
      </c>
      <c r="P38" s="166" t="e">
        <f>AVERAGE('Revenue Requirement'!#REF!)</f>
        <v>#REF!</v>
      </c>
      <c r="Q38" s="161"/>
      <c r="R38" s="166" t="e">
        <f>AVERAGE('Revenue Requirement'!#REF!)</f>
        <v>#REF!</v>
      </c>
      <c r="S38" s="166" t="e">
        <f>AVERAGE('Revenue Requirement'!#REF!)</f>
        <v>#REF!</v>
      </c>
      <c r="T38" s="161"/>
      <c r="U38" s="166" t="e">
        <f>AVERAGE('Revenue Requirement'!#REF!)</f>
        <v>#REF!</v>
      </c>
      <c r="V38" s="166" t="e">
        <f>AVERAGE('Revenue Requirement'!#REF!)</f>
        <v>#REF!</v>
      </c>
      <c r="X38" s="8"/>
      <c r="Y38" s="8"/>
      <c r="Z38" s="8"/>
      <c r="AA38" s="8"/>
      <c r="AB38" s="8"/>
      <c r="AC38" s="8"/>
      <c r="AD38" s="8"/>
      <c r="AE38" s="8"/>
      <c r="AF38" s="8"/>
      <c r="AG38" s="8"/>
      <c r="AH38" s="8"/>
      <c r="AI38" s="8"/>
      <c r="AJ38" s="8"/>
      <c r="AK38" s="102"/>
      <c r="AL38" s="102"/>
      <c r="AM38" s="102"/>
      <c r="AN38" s="102"/>
      <c r="AO38" s="102"/>
      <c r="AP38" s="102"/>
      <c r="AQ38" s="102"/>
      <c r="AR38" s="102"/>
      <c r="AS38" s="102"/>
    </row>
    <row r="39" spans="1:45">
      <c r="A39" s="15"/>
      <c r="B39" s="104" t="s">
        <v>64</v>
      </c>
      <c r="C39" s="14"/>
      <c r="D39" s="14"/>
      <c r="E39" s="14"/>
      <c r="F39" s="165">
        <v>78428</v>
      </c>
      <c r="G39" s="165">
        <v>80902</v>
      </c>
      <c r="H39" s="161"/>
      <c r="I39" s="166">
        <f t="shared" si="0"/>
        <v>79665</v>
      </c>
      <c r="J39" s="165">
        <v>85106.017999999996</v>
      </c>
      <c r="K39" s="161"/>
      <c r="L39" s="165">
        <v>86914.778000000006</v>
      </c>
      <c r="M39" s="166">
        <f t="shared" si="1"/>
        <v>86010.398000000001</v>
      </c>
      <c r="N39" s="161"/>
      <c r="O39" s="166" t="e">
        <f>AVERAGE('Revenue Requirement'!#REF!)</f>
        <v>#REF!</v>
      </c>
      <c r="P39" s="166" t="e">
        <f>AVERAGE('Revenue Requirement'!#REF!)</f>
        <v>#REF!</v>
      </c>
      <c r="Q39" s="161"/>
      <c r="R39" s="166" t="e">
        <f>AVERAGE('Revenue Requirement'!#REF!)</f>
        <v>#REF!</v>
      </c>
      <c r="S39" s="166" t="e">
        <f>AVERAGE('Revenue Requirement'!#REF!)</f>
        <v>#REF!</v>
      </c>
      <c r="T39" s="161"/>
      <c r="U39" s="166" t="e">
        <f>AVERAGE('Revenue Requirement'!#REF!)</f>
        <v>#REF!</v>
      </c>
      <c r="V39" s="166" t="e">
        <f>AVERAGE('Revenue Requirement'!#REF!)</f>
        <v>#REF!</v>
      </c>
      <c r="X39" s="177" t="s">
        <v>350</v>
      </c>
      <c r="Y39" s="8"/>
      <c r="Z39" s="8"/>
      <c r="AA39" s="8"/>
      <c r="AB39" s="8"/>
      <c r="AC39" s="175">
        <f>AVERAGE('Capital Input File'!B39:B39)</f>
        <v>485796.82977915753</v>
      </c>
      <c r="AD39" s="175">
        <f>AVERAGE('Capital Input File'!C39:D39)</f>
        <v>498692.68224932416</v>
      </c>
      <c r="AE39" s="175" t="e">
        <f>AVERAGE('Capital Input File'!#REF!)</f>
        <v>#REF!</v>
      </c>
      <c r="AF39" s="175" t="e">
        <f>AVERAGE('Capital Input File'!#REF!)</f>
        <v>#REF!</v>
      </c>
      <c r="AG39" s="175" t="e">
        <f>AVERAGE('Capital Input File'!#REF!)</f>
        <v>#REF!</v>
      </c>
      <c r="AH39" s="175" t="e">
        <f>'Capital Input File'!#REF!</f>
        <v>#REF!</v>
      </c>
      <c r="AI39" s="175" t="e">
        <f>AH39</f>
        <v>#REF!</v>
      </c>
      <c r="AJ39" s="175" t="e">
        <f>AI39</f>
        <v>#REF!</v>
      </c>
      <c r="AK39" s="102"/>
      <c r="AL39" s="179"/>
      <c r="AM39" s="102"/>
      <c r="AN39" s="102"/>
      <c r="AO39" s="179"/>
      <c r="AP39" s="102"/>
      <c r="AQ39" s="102"/>
      <c r="AR39" s="102"/>
      <c r="AS39" s="102"/>
    </row>
    <row r="40" spans="1:45">
      <c r="A40" s="15"/>
      <c r="B40" s="104" t="s">
        <v>65</v>
      </c>
      <c r="C40" s="14"/>
      <c r="D40" s="14"/>
      <c r="E40" s="14"/>
      <c r="F40" s="165">
        <v>-20000</v>
      </c>
      <c r="G40" s="165">
        <v>-20000</v>
      </c>
      <c r="H40" s="161"/>
      <c r="I40" s="166">
        <f t="shared" si="0"/>
        <v>-20000</v>
      </c>
      <c r="J40" s="165">
        <v>-2100</v>
      </c>
      <c r="K40" s="161"/>
      <c r="L40" s="165">
        <v>-2100</v>
      </c>
      <c r="M40" s="166">
        <f t="shared" si="1"/>
        <v>-2100</v>
      </c>
      <c r="N40" s="161"/>
      <c r="O40" s="166" t="e">
        <f>AVERAGE('Revenue Requirement'!#REF!)</f>
        <v>#REF!</v>
      </c>
      <c r="P40" s="166" t="e">
        <f>AVERAGE('Revenue Requirement'!#REF!)</f>
        <v>#REF!</v>
      </c>
      <c r="Q40" s="161"/>
      <c r="R40" s="166" t="e">
        <f>AVERAGE('Revenue Requirement'!#REF!)</f>
        <v>#REF!</v>
      </c>
      <c r="S40" s="166" t="e">
        <f>AVERAGE('Revenue Requirement'!#REF!)</f>
        <v>#REF!</v>
      </c>
      <c r="T40" s="161"/>
      <c r="U40" s="166" t="e">
        <f>AVERAGE('Revenue Requirement'!#REF!)</f>
        <v>#REF!</v>
      </c>
      <c r="V40" s="166" t="e">
        <f>AVERAGE('Revenue Requirement'!#REF!)</f>
        <v>#REF!</v>
      </c>
      <c r="X40" s="177" t="s">
        <v>351</v>
      </c>
      <c r="Y40" s="8"/>
      <c r="Z40" s="8"/>
      <c r="AA40" s="8"/>
      <c r="AB40" s="8"/>
      <c r="AC40" s="175" t="e">
        <f>AVERAGE(AFUDC!#REF!)</f>
        <v>#REF!</v>
      </c>
      <c r="AD40" s="175">
        <f>AVERAGE(AFUDC!C9:D9)</f>
        <v>480954.64666999999</v>
      </c>
      <c r="AE40" s="175">
        <f>AVERAGE(AFUDC!E9:F9)</f>
        <v>478014.96466013743</v>
      </c>
      <c r="AF40" s="175" t="e">
        <f>AVERAGE(AFUDC!#REF!)</f>
        <v>#REF!</v>
      </c>
      <c r="AG40" s="175" t="e">
        <f>AVERAGE(AFUDC!#REF!)</f>
        <v>#REF!</v>
      </c>
      <c r="AH40" s="175" t="e">
        <f>AVERAGE(AFUDC!#REF!)</f>
        <v>#REF!</v>
      </c>
      <c r="AI40" s="175" t="e">
        <f>AVERAGE(AFUDC!#REF!)</f>
        <v>#REF!</v>
      </c>
      <c r="AJ40" s="175" t="e">
        <f>AVERAGE(AFUDC!#REF!)</f>
        <v>#REF!</v>
      </c>
      <c r="AK40" s="102"/>
      <c r="AL40" s="102"/>
      <c r="AM40" s="102"/>
      <c r="AN40" s="102"/>
      <c r="AO40" s="102"/>
      <c r="AP40" s="102"/>
      <c r="AQ40" s="102"/>
      <c r="AR40" s="102"/>
      <c r="AS40" s="102"/>
    </row>
    <row r="41" spans="1:45">
      <c r="A41" s="15"/>
      <c r="B41" s="642" t="s">
        <v>86</v>
      </c>
      <c r="C41" s="642"/>
      <c r="D41" s="14"/>
      <c r="E41" s="14"/>
      <c r="F41" s="165">
        <v>-20000</v>
      </c>
      <c r="G41" s="165">
        <v>-20000</v>
      </c>
      <c r="H41" s="161"/>
      <c r="I41" s="166">
        <f t="shared" si="0"/>
        <v>-20000</v>
      </c>
      <c r="J41" s="165">
        <v>0</v>
      </c>
      <c r="K41" s="161"/>
      <c r="L41" s="165">
        <v>0</v>
      </c>
      <c r="M41" s="166">
        <f t="shared" si="1"/>
        <v>0</v>
      </c>
      <c r="N41" s="161"/>
      <c r="O41" s="166" t="e">
        <f>AVERAGE('Revenue Requirement'!#REF!)</f>
        <v>#REF!</v>
      </c>
      <c r="P41" s="166" t="e">
        <f>AVERAGE('Revenue Requirement'!#REF!)</f>
        <v>#REF!</v>
      </c>
      <c r="Q41" s="161"/>
      <c r="R41" s="166" t="e">
        <f>AVERAGE('Revenue Requirement'!#REF!)</f>
        <v>#REF!</v>
      </c>
      <c r="S41" s="166" t="e">
        <f>AVERAGE('Revenue Requirement'!#REF!)</f>
        <v>#REF!</v>
      </c>
      <c r="T41" s="161"/>
      <c r="U41" s="166" t="e">
        <f>AVERAGE('Revenue Requirement'!#REF!)</f>
        <v>#REF!</v>
      </c>
      <c r="V41" s="166" t="e">
        <f>AVERAGE('Revenue Requirement'!#REF!)</f>
        <v>#REF!</v>
      </c>
      <c r="AK41" s="102"/>
      <c r="AL41" s="102"/>
      <c r="AM41" s="102"/>
      <c r="AN41" s="102"/>
      <c r="AO41" s="102"/>
      <c r="AP41" s="102"/>
      <c r="AQ41" s="102"/>
      <c r="AR41" s="102"/>
      <c r="AS41" s="102"/>
    </row>
    <row r="42" spans="1:45">
      <c r="A42" s="15"/>
      <c r="B42" s="104" t="s">
        <v>66</v>
      </c>
      <c r="C42" s="14"/>
      <c r="D42" s="14"/>
      <c r="E42" s="14"/>
      <c r="F42" s="165">
        <v>192141</v>
      </c>
      <c r="G42" s="165">
        <v>202465</v>
      </c>
      <c r="H42" s="161"/>
      <c r="I42" s="166">
        <f t="shared" si="0"/>
        <v>197303</v>
      </c>
      <c r="J42" s="165">
        <v>239852.19361328415</v>
      </c>
      <c r="K42" s="161"/>
      <c r="L42" s="165">
        <v>259210.19361328415</v>
      </c>
      <c r="M42" s="166">
        <f t="shared" si="1"/>
        <v>249531.19361328415</v>
      </c>
      <c r="N42" s="161"/>
      <c r="O42" s="166" t="e">
        <f>AVERAGE('Revenue Requirement'!#REF!)</f>
        <v>#REF!</v>
      </c>
      <c r="P42" s="166" t="e">
        <f>AVERAGE('Revenue Requirement'!#REF!)</f>
        <v>#REF!</v>
      </c>
      <c r="Q42" s="161"/>
      <c r="R42" s="166" t="e">
        <f>AVERAGE('Revenue Requirement'!#REF!)</f>
        <v>#REF!</v>
      </c>
      <c r="S42" s="166" t="e">
        <f>AVERAGE('Revenue Requirement'!#REF!)</f>
        <v>#REF!</v>
      </c>
      <c r="T42" s="161"/>
      <c r="U42" s="166" t="e">
        <f>AVERAGE('Revenue Requirement'!#REF!)</f>
        <v>#REF!</v>
      </c>
      <c r="V42" s="166" t="e">
        <f>AVERAGE('Revenue Requirement'!#REF!)</f>
        <v>#REF!</v>
      </c>
      <c r="AD42" s="182" t="s">
        <v>353</v>
      </c>
      <c r="AF42" s="182" t="s">
        <v>352</v>
      </c>
      <c r="AK42" s="102"/>
      <c r="AL42" s="102"/>
      <c r="AM42" s="102"/>
      <c r="AN42" s="102"/>
      <c r="AO42" s="102"/>
      <c r="AP42" s="102"/>
      <c r="AQ42" s="102"/>
      <c r="AR42" s="102"/>
      <c r="AS42" s="102"/>
    </row>
    <row r="43" spans="1:45">
      <c r="A43" s="140" t="s">
        <v>67</v>
      </c>
      <c r="B43" s="14"/>
      <c r="C43" s="14"/>
      <c r="D43" s="14"/>
      <c r="E43" s="14"/>
      <c r="F43" s="165">
        <f>F35+F36+F37+F38+F39+F40+F42</f>
        <v>718457</v>
      </c>
      <c r="G43" s="165">
        <f>G35+G36+G37+G38+G39+G40+G42</f>
        <v>741619</v>
      </c>
      <c r="H43" s="161"/>
      <c r="I43" s="166">
        <f t="shared" si="0"/>
        <v>730038</v>
      </c>
      <c r="J43" s="165">
        <v>830197.26866328425</v>
      </c>
      <c r="K43" s="161"/>
      <c r="L43" s="165">
        <v>859027.03743328422</v>
      </c>
      <c r="M43" s="166">
        <f t="shared" si="1"/>
        <v>844612.15304828424</v>
      </c>
      <c r="N43" s="161"/>
      <c r="O43" s="166" t="e">
        <f>AVERAGE('Revenue Requirement'!#REF!)</f>
        <v>#REF!</v>
      </c>
      <c r="P43" s="166" t="e">
        <f>AVERAGE('Revenue Requirement'!#REF!)</f>
        <v>#REF!</v>
      </c>
      <c r="Q43" s="161"/>
      <c r="R43" s="166" t="e">
        <f>AVERAGE('Revenue Requirement'!#REF!)</f>
        <v>#REF!</v>
      </c>
      <c r="S43" s="166" t="e">
        <f>AVERAGE('Revenue Requirement'!#REF!)</f>
        <v>#REF!</v>
      </c>
      <c r="T43" s="161"/>
      <c r="U43" s="166" t="e">
        <f>AVERAGE('Revenue Requirement'!#REF!)</f>
        <v>#REF!</v>
      </c>
      <c r="V43" s="166" t="e">
        <f>AVERAGE('Revenue Requirement'!#REF!)</f>
        <v>#REF!</v>
      </c>
    </row>
    <row r="44" spans="1:45">
      <c r="A44" s="15"/>
      <c r="B44" s="14"/>
      <c r="C44" s="14"/>
      <c r="D44" s="14"/>
      <c r="E44" s="14"/>
      <c r="F44" s="167"/>
      <c r="G44" s="167"/>
      <c r="H44" s="161"/>
      <c r="I44" s="164"/>
      <c r="J44" s="167"/>
      <c r="K44" s="161"/>
      <c r="L44" s="167"/>
      <c r="M44" s="164"/>
      <c r="N44" s="161"/>
      <c r="O44" s="164"/>
      <c r="P44" s="164"/>
      <c r="Q44" s="161"/>
      <c r="R44" s="164"/>
      <c r="S44" s="164"/>
      <c r="T44" s="161"/>
      <c r="U44" s="164"/>
      <c r="V44" s="164"/>
    </row>
    <row r="45" spans="1:45">
      <c r="A45" s="141" t="s">
        <v>76</v>
      </c>
      <c r="B45" s="14"/>
      <c r="C45" s="14"/>
      <c r="D45" s="14"/>
      <c r="E45" s="14"/>
      <c r="F45" s="168">
        <v>143924</v>
      </c>
      <c r="G45" s="168">
        <v>159813</v>
      </c>
      <c r="H45" s="161"/>
      <c r="I45" s="166">
        <f>AVERAGE(F45:G45)</f>
        <v>151868.5</v>
      </c>
      <c r="J45" s="168">
        <v>150702.18057672918</v>
      </c>
      <c r="K45" s="161"/>
      <c r="L45" s="168">
        <v>157381.86605771707</v>
      </c>
      <c r="M45" s="166">
        <f>AVERAGE(J45:L45)</f>
        <v>154042.02331722312</v>
      </c>
      <c r="N45" s="161"/>
      <c r="O45" s="166" t="e">
        <f>AVERAGE('Revenue Requirement'!#REF!)</f>
        <v>#REF!</v>
      </c>
      <c r="P45" s="166" t="e">
        <f>AVERAGE('Revenue Requirement'!#REF!)</f>
        <v>#REF!</v>
      </c>
      <c r="Q45" s="161"/>
      <c r="R45" s="166" t="e">
        <f>AVERAGE('Revenue Requirement'!#REF!)</f>
        <v>#REF!</v>
      </c>
      <c r="S45" s="166" t="e">
        <f>AVERAGE('Revenue Requirement'!#REF!)</f>
        <v>#REF!</v>
      </c>
      <c r="T45" s="161"/>
      <c r="U45" s="166" t="e">
        <f>AVERAGE('Revenue Requirement'!#REF!)</f>
        <v>#REF!</v>
      </c>
      <c r="V45" s="166" t="e">
        <f>AVERAGE('Revenue Requirement'!#REF!)</f>
        <v>#REF!</v>
      </c>
      <c r="AD45" s="103"/>
      <c r="AE45" s="103"/>
      <c r="AF45" s="103"/>
      <c r="AG45" s="103"/>
      <c r="AH45" s="103"/>
      <c r="AI45" s="103"/>
      <c r="AJ45" s="103"/>
    </row>
    <row r="46" spans="1:45">
      <c r="A46" s="15"/>
      <c r="B46" s="14"/>
      <c r="C46" s="14"/>
      <c r="D46" s="14"/>
      <c r="E46" s="14"/>
      <c r="F46" s="167"/>
      <c r="G46" s="167"/>
      <c r="H46" s="161"/>
      <c r="I46" s="164"/>
      <c r="J46" s="167"/>
      <c r="K46" s="161"/>
      <c r="L46" s="167"/>
      <c r="M46" s="164"/>
      <c r="N46" s="161"/>
      <c r="O46" s="164"/>
      <c r="P46" s="164"/>
      <c r="Q46" s="161"/>
      <c r="R46" s="164"/>
      <c r="S46" s="164"/>
      <c r="T46" s="161"/>
      <c r="U46" s="164"/>
      <c r="V46" s="164"/>
    </row>
    <row r="47" spans="1:45">
      <c r="A47" s="142" t="s">
        <v>81</v>
      </c>
      <c r="B47" s="14"/>
      <c r="C47" s="14"/>
      <c r="D47" s="14"/>
      <c r="E47" s="14"/>
      <c r="F47" s="168">
        <f>F45+F43</f>
        <v>862381</v>
      </c>
      <c r="G47" s="168">
        <f>G45+G43</f>
        <v>901432</v>
      </c>
      <c r="H47" s="161"/>
      <c r="I47" s="166">
        <f>AVERAGE(F47:G47)</f>
        <v>881906.5</v>
      </c>
      <c r="J47" s="168">
        <f>J45+J43+J49</f>
        <v>1090709.1215247675</v>
      </c>
      <c r="K47" s="161"/>
      <c r="L47" s="168">
        <f>L45+L43+L49</f>
        <v>1102855.7924568867</v>
      </c>
      <c r="M47" s="166">
        <f>AVERAGE(J47:L47)</f>
        <v>1096782.4569908271</v>
      </c>
      <c r="N47" s="161"/>
      <c r="O47" s="166" t="e">
        <f>O45+O43+O49</f>
        <v>#REF!</v>
      </c>
      <c r="P47" s="166" t="e">
        <f>P45+P43+P49</f>
        <v>#REF!</v>
      </c>
      <c r="Q47" s="161"/>
      <c r="R47" s="166" t="e">
        <f>R45+R43+R49</f>
        <v>#REF!</v>
      </c>
      <c r="S47" s="166" t="e">
        <f>S45+S43+S49</f>
        <v>#REF!</v>
      </c>
      <c r="T47" s="161"/>
      <c r="U47" s="166" t="e">
        <f>U45+U43+U49</f>
        <v>#REF!</v>
      </c>
      <c r="V47" s="166" t="e">
        <f>V45+V43+V49</f>
        <v>#REF!</v>
      </c>
    </row>
    <row r="48" spans="1:45">
      <c r="A48" s="15"/>
      <c r="B48" s="14"/>
      <c r="C48" s="14"/>
      <c r="D48" s="14"/>
      <c r="E48" s="14"/>
      <c r="F48" s="167"/>
      <c r="G48" s="167"/>
      <c r="H48" s="161"/>
      <c r="I48" s="164"/>
      <c r="J48" s="167"/>
      <c r="K48" s="161"/>
      <c r="L48" s="167"/>
      <c r="M48" s="164"/>
      <c r="N48" s="161"/>
      <c r="O48" s="164"/>
      <c r="P48" s="164"/>
      <c r="Q48" s="161"/>
      <c r="R48" s="164"/>
      <c r="S48" s="164"/>
      <c r="T48" s="161"/>
      <c r="U48" s="164"/>
      <c r="V48" s="164"/>
    </row>
    <row r="49" spans="1:22">
      <c r="A49" s="143" t="s">
        <v>78</v>
      </c>
      <c r="B49" s="14"/>
      <c r="C49" s="14"/>
      <c r="D49" s="14"/>
      <c r="E49" s="14"/>
      <c r="F49" s="168">
        <v>147145</v>
      </c>
      <c r="G49" s="168">
        <v>130447</v>
      </c>
      <c r="H49" s="161"/>
      <c r="I49" s="166">
        <f>AVERAGE(F49:G49)</f>
        <v>138796</v>
      </c>
      <c r="J49" s="168">
        <v>109809.67228475411</v>
      </c>
      <c r="K49" s="161"/>
      <c r="L49" s="168">
        <v>86446.888965885388</v>
      </c>
      <c r="M49" s="166">
        <f>AVERAGE(J49:L49)</f>
        <v>98128.280625319749</v>
      </c>
      <c r="N49" s="161"/>
      <c r="O49" s="166" t="e">
        <f>AVERAGE('Revenue Requirement'!#REF!)</f>
        <v>#REF!</v>
      </c>
      <c r="P49" s="166" t="e">
        <f>AVERAGE('Revenue Requirement'!#REF!)</f>
        <v>#REF!</v>
      </c>
      <c r="Q49" s="161"/>
      <c r="R49" s="166" t="e">
        <f>AVERAGE('Revenue Requirement'!#REF!)</f>
        <v>#REF!</v>
      </c>
      <c r="S49" s="166" t="e">
        <f>AVERAGE('Revenue Requirement'!#REF!)</f>
        <v>#REF!</v>
      </c>
      <c r="T49" s="161"/>
      <c r="U49" s="166" t="e">
        <f>AVERAGE('Revenue Requirement'!#REF!)</f>
        <v>#REF!</v>
      </c>
      <c r="V49" s="166" t="e">
        <f>AVERAGE('Revenue Requirement'!#REF!)</f>
        <v>#REF!</v>
      </c>
    </row>
    <row r="50" spans="1:22">
      <c r="A50" s="144"/>
      <c r="B50" s="14"/>
      <c r="C50" s="14"/>
      <c r="D50" s="14"/>
      <c r="E50" s="14"/>
      <c r="F50" s="168"/>
      <c r="G50" s="168"/>
      <c r="H50" s="161"/>
      <c r="I50" s="166"/>
      <c r="J50" s="168"/>
      <c r="K50" s="161"/>
      <c r="L50" s="168"/>
      <c r="M50" s="166"/>
      <c r="N50" s="161"/>
      <c r="O50" s="166"/>
      <c r="P50" s="166"/>
      <c r="Q50" s="161"/>
      <c r="R50" s="166"/>
      <c r="S50" s="166"/>
      <c r="T50" s="161"/>
      <c r="U50" s="166"/>
      <c r="V50" s="166"/>
    </row>
    <row r="51" spans="1:22" ht="15.75" thickBot="1">
      <c r="A51" s="145" t="s">
        <v>324</v>
      </c>
      <c r="B51" s="14"/>
      <c r="C51" s="10"/>
      <c r="D51" s="10"/>
      <c r="E51" s="10"/>
      <c r="F51" s="169">
        <f>F49+F45+F42</f>
        <v>483210</v>
      </c>
      <c r="G51" s="170">
        <f>G49+G45+G42</f>
        <v>492725</v>
      </c>
      <c r="H51" s="161"/>
      <c r="I51" s="171">
        <f>I49+I45+I42</f>
        <v>487967.5</v>
      </c>
      <c r="J51" s="169">
        <v>500364.04647476744</v>
      </c>
      <c r="K51" s="161"/>
      <c r="L51" s="170">
        <v>503038.94863688661</v>
      </c>
      <c r="M51" s="171">
        <f>M49+M45+M42</f>
        <v>501701.49755582702</v>
      </c>
      <c r="N51" s="161"/>
      <c r="O51" s="171">
        <v>532434.6665720212</v>
      </c>
      <c r="P51" s="171">
        <v>608911.20919739455</v>
      </c>
      <c r="Q51" s="161"/>
      <c r="R51" s="171">
        <v>657746.81403980451</v>
      </c>
      <c r="S51" s="171">
        <v>704224.75790144107</v>
      </c>
      <c r="T51" s="161"/>
      <c r="U51" s="171">
        <v>743299.56827814097</v>
      </c>
      <c r="V51" s="171">
        <v>790198.13409638009</v>
      </c>
    </row>
    <row r="53" spans="1:22">
      <c r="M53" s="172">
        <f>SUM(M35:M40)</f>
        <v>595080.95943500008</v>
      </c>
      <c r="N53" s="161"/>
      <c r="O53" s="172" t="e">
        <f>SUM(O35:O40)-O38</f>
        <v>#REF!</v>
      </c>
      <c r="P53" s="172" t="e">
        <f>SUM(P35:P40)-P38</f>
        <v>#REF!</v>
      </c>
      <c r="Q53" s="161"/>
      <c r="R53" s="172" t="e">
        <f>SUM(R35:R40)-R38</f>
        <v>#REF!</v>
      </c>
      <c r="S53" s="172" t="e">
        <f>SUM(S35:S40)-S38</f>
        <v>#REF!</v>
      </c>
      <c r="T53" s="161"/>
      <c r="U53" s="172" t="e">
        <f>SUM(U35:U40)-U38</f>
        <v>#REF!</v>
      </c>
      <c r="V53" s="172" t="e">
        <f>SUM(V35:V40)-V38</f>
        <v>#REF!</v>
      </c>
    </row>
    <row r="54" spans="1:22">
      <c r="O54" s="183" t="e">
        <f>(O53-M53)/O53</f>
        <v>#REF!</v>
      </c>
      <c r="P54" s="183" t="e">
        <f>(P53-O53)/P53</f>
        <v>#REF!</v>
      </c>
      <c r="R54" s="183" t="e">
        <f>(R53-P53)/R53</f>
        <v>#REF!</v>
      </c>
      <c r="S54" s="183" t="e">
        <f>(S53-R53)/S53</f>
        <v>#REF!</v>
      </c>
      <c r="U54" s="183" t="e">
        <f>(U53-S53)/U53</f>
        <v>#REF!</v>
      </c>
      <c r="V54" s="183" t="e">
        <f>(V53-U53)/V53</f>
        <v>#REF!</v>
      </c>
    </row>
    <row r="55" spans="1:22">
      <c r="M55" s="172">
        <f>M38</f>
        <v>140774.69951999999</v>
      </c>
      <c r="N55" s="161"/>
      <c r="O55" s="172" t="e">
        <f>O38</f>
        <v>#REF!</v>
      </c>
      <c r="P55" s="172" t="e">
        <f>P38</f>
        <v>#REF!</v>
      </c>
      <c r="Q55" s="161"/>
      <c r="R55" s="172" t="e">
        <f>R38</f>
        <v>#REF!</v>
      </c>
      <c r="S55" s="172" t="e">
        <f>S38</f>
        <v>#REF!</v>
      </c>
      <c r="T55" s="161"/>
      <c r="U55" s="172" t="e">
        <f>U38</f>
        <v>#REF!</v>
      </c>
      <c r="V55" s="172" t="e">
        <f>V38</f>
        <v>#REF!</v>
      </c>
    </row>
    <row r="56" spans="1:22">
      <c r="O56" s="183" t="e">
        <f>(O55-M55)/O55</f>
        <v>#REF!</v>
      </c>
      <c r="P56" s="183" t="e">
        <f>(P55-O55)/P55</f>
        <v>#REF!</v>
      </c>
      <c r="Q56" s="7"/>
      <c r="R56" s="183" t="e">
        <f>(R55-P55)/R55</f>
        <v>#REF!</v>
      </c>
      <c r="S56" s="183" t="e">
        <f>(S55-R55)/S55</f>
        <v>#REF!</v>
      </c>
      <c r="T56" s="7"/>
      <c r="U56" s="183" t="e">
        <f>(U55-S55)/U55</f>
        <v>#REF!</v>
      </c>
      <c r="V56" s="183" t="e">
        <f>(V55-U55)/V55</f>
        <v>#REF!</v>
      </c>
    </row>
    <row r="57" spans="1:22">
      <c r="M57" s="172">
        <f>M51</f>
        <v>501701.49755582702</v>
      </c>
      <c r="N57" s="161"/>
      <c r="O57" s="172">
        <f>O51</f>
        <v>532434.6665720212</v>
      </c>
      <c r="P57" s="172">
        <f>P51</f>
        <v>608911.20919739455</v>
      </c>
      <c r="Q57" s="161"/>
      <c r="R57" s="172">
        <f>R51</f>
        <v>657746.81403980451</v>
      </c>
      <c r="S57" s="172">
        <f>S51</f>
        <v>704224.75790144107</v>
      </c>
      <c r="T57" s="161"/>
      <c r="U57" s="172">
        <f>U51</f>
        <v>743299.56827814097</v>
      </c>
      <c r="V57" s="172">
        <f>V51</f>
        <v>790198.13409638009</v>
      </c>
    </row>
    <row r="58" spans="1:22">
      <c r="O58" s="183">
        <f>(O57-M57)/O57</f>
        <v>5.7721953407098403E-2</v>
      </c>
      <c r="P58" s="183">
        <f>(P57-O57)/P57</f>
        <v>0.12559555723432489</v>
      </c>
      <c r="Q58" s="7"/>
      <c r="R58" s="183">
        <f>(R57-P57)/R57</f>
        <v>7.4246813211404777E-2</v>
      </c>
      <c r="S58" s="183">
        <f>(S57-R57)/S57</f>
        <v>6.59987359719343E-2</v>
      </c>
      <c r="T58" s="7"/>
      <c r="U58" s="183">
        <f>(U57-S57)/U57</f>
        <v>5.2569397379332521E-2</v>
      </c>
      <c r="V58" s="183">
        <f>(V57-U57)/V57</f>
        <v>5.9350387952850976E-2</v>
      </c>
    </row>
    <row r="60" spans="1:22">
      <c r="M60" s="172">
        <f>M45</f>
        <v>154042.02331722312</v>
      </c>
      <c r="N60" s="161"/>
      <c r="O60" s="172" t="e">
        <f>O45</f>
        <v>#REF!</v>
      </c>
      <c r="P60" s="172" t="e">
        <f>P45</f>
        <v>#REF!</v>
      </c>
      <c r="Q60" s="161"/>
      <c r="R60" s="172" t="e">
        <f>R45</f>
        <v>#REF!</v>
      </c>
      <c r="S60" s="172" t="e">
        <f>S45</f>
        <v>#REF!</v>
      </c>
      <c r="T60" s="161"/>
      <c r="U60" s="172" t="e">
        <f>U45</f>
        <v>#REF!</v>
      </c>
      <c r="V60" s="172" t="e">
        <f>V45</f>
        <v>#REF!</v>
      </c>
    </row>
    <row r="61" spans="1:22">
      <c r="K61" s="103"/>
      <c r="L61" s="155"/>
      <c r="M61" s="7"/>
      <c r="N61" s="7"/>
      <c r="O61" s="183" t="e">
        <f>(O60-M60)/O60</f>
        <v>#REF!</v>
      </c>
      <c r="P61" s="183" t="e">
        <f>(P60-O60)/P60</f>
        <v>#REF!</v>
      </c>
      <c r="Q61" s="7"/>
      <c r="R61" s="183" t="e">
        <f>(R60-P60)/R60</f>
        <v>#REF!</v>
      </c>
      <c r="S61" s="183" t="e">
        <f>(S60-R60)/S60</f>
        <v>#REF!</v>
      </c>
      <c r="T61" s="7"/>
      <c r="U61" s="183" t="e">
        <f>(U60-S60)/U60</f>
        <v>#REF!</v>
      </c>
      <c r="V61" s="183" t="e">
        <f>(V60-U60)/V60</f>
        <v>#REF!</v>
      </c>
    </row>
    <row r="62" spans="1:22">
      <c r="K62" s="103"/>
      <c r="L62" s="155"/>
    </row>
    <row r="63" spans="1:22">
      <c r="K63" s="103"/>
      <c r="L63" s="155"/>
    </row>
    <row r="64" spans="1:22">
      <c r="L64" s="103"/>
    </row>
  </sheetData>
  <customSheetViews>
    <customSheetView guid="{2226E858-00AE-4A92-8CF6-5B54D2FA62D4}" showPageBreaks="1" printArea="1" hiddenRows="1" state="hidden">
      <pageMargins left="0.7" right="0.7" top="0.75" bottom="0.75" header="0.3" footer="0.3"/>
      <pageSetup scale="44" orientation="landscape" r:id="rId1"/>
    </customSheetView>
  </customSheetViews>
  <mergeCells count="12">
    <mergeCell ref="U2:V3"/>
    <mergeCell ref="C2:D3"/>
    <mergeCell ref="F2:G3"/>
    <mergeCell ref="I2:J3"/>
    <mergeCell ref="A7:B7"/>
    <mergeCell ref="B41:C41"/>
    <mergeCell ref="K33:L33"/>
    <mergeCell ref="L2:M3"/>
    <mergeCell ref="O2:P3"/>
    <mergeCell ref="R2:S3"/>
    <mergeCell ref="A32:C32"/>
    <mergeCell ref="F33:G33"/>
  </mergeCells>
  <pageMargins left="0.7" right="0.7" top="0.75" bottom="0.75" header="0.3" footer="0.3"/>
  <pageSetup scale="44" orientation="landscape" r:id="rId2"/>
  <ignoredErrors>
    <ignoredError sqref="C16" evalError="1"/>
    <ignoredError sqref="AC40:AG40" formulaRange="1"/>
  </ignoredError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G70"/>
  <sheetViews>
    <sheetView zoomScale="85" zoomScaleNormal="85" workbookViewId="0">
      <selection activeCell="N8" sqref="N8"/>
    </sheetView>
  </sheetViews>
  <sheetFormatPr defaultRowHeight="15"/>
  <cols>
    <col min="1" max="1" width="4.42578125" style="203" customWidth="1"/>
    <col min="2" max="2" width="22.7109375" style="203" customWidth="1"/>
    <col min="3" max="3" width="40.7109375" style="203" customWidth="1"/>
    <col min="4" max="4" width="8.140625" style="203" customWidth="1"/>
    <col min="5" max="5" width="8" style="203" customWidth="1"/>
    <col min="6" max="7" width="14.5703125" style="203" customWidth="1"/>
    <col min="8" max="16384" width="9.140625" style="203"/>
  </cols>
  <sheetData>
    <row r="1" spans="1:7" ht="18.75" thickBot="1">
      <c r="A1" s="647" t="s">
        <v>410</v>
      </c>
      <c r="B1" s="648"/>
      <c r="C1" s="648"/>
      <c r="D1" s="648"/>
      <c r="E1" s="648"/>
      <c r="F1" s="648"/>
      <c r="G1" s="649"/>
    </row>
    <row r="2" spans="1:7" ht="21.75" customHeight="1" thickBot="1">
      <c r="A2" s="204"/>
      <c r="B2" s="205"/>
      <c r="C2" s="205"/>
      <c r="D2" s="205"/>
      <c r="E2" s="205"/>
      <c r="F2" s="650" t="s">
        <v>399</v>
      </c>
      <c r="G2" s="651"/>
    </row>
    <row r="3" spans="1:7" ht="15.75" customHeight="1" thickBot="1">
      <c r="A3" s="656" t="s">
        <v>84</v>
      </c>
      <c r="B3" s="657"/>
      <c r="C3" s="657"/>
      <c r="D3" s="206"/>
      <c r="E3" s="206"/>
      <c r="F3" s="207">
        <v>2018</v>
      </c>
      <c r="G3" s="208">
        <f t="shared" ref="G3" si="0">F3+1</f>
        <v>2019</v>
      </c>
    </row>
    <row r="4" spans="1:7">
      <c r="A4" s="210"/>
      <c r="B4" s="114"/>
      <c r="C4" s="114"/>
      <c r="D4" s="114"/>
      <c r="E4" s="114"/>
      <c r="F4" s="210"/>
      <c r="G4" s="211"/>
    </row>
    <row r="5" spans="1:7">
      <c r="A5" s="212" t="s">
        <v>62</v>
      </c>
      <c r="B5" s="114"/>
      <c r="C5" s="114"/>
      <c r="D5" s="114"/>
      <c r="E5" s="114"/>
      <c r="F5" s="213"/>
      <c r="G5" s="214"/>
    </row>
    <row r="6" spans="1:7">
      <c r="A6" s="210"/>
      <c r="B6" s="174" t="s">
        <v>14</v>
      </c>
      <c r="C6" s="114"/>
      <c r="D6" s="215"/>
      <c r="E6" s="215"/>
      <c r="F6" s="213">
        <f>HLOOKUP(F$3,'Expense Input File'!$C$2:$E$9,2,FALSE)</f>
        <v>167050.00099999999</v>
      </c>
      <c r="G6" s="214">
        <f>HLOOKUP(G$3,'Expense Input File'!$C$2:$E$9,2,FALSE)</f>
        <v>168007.32399999999</v>
      </c>
    </row>
    <row r="7" spans="1:7">
      <c r="A7" s="210"/>
      <c r="B7" s="174" t="s">
        <v>15</v>
      </c>
      <c r="C7" s="114"/>
      <c r="D7" s="215"/>
      <c r="E7" s="215"/>
      <c r="F7" s="213">
        <f>HLOOKUP(F$3,'Expense Input File'!$C$2:$E$9,3,FALSE)</f>
        <v>56350.642999999996</v>
      </c>
      <c r="G7" s="214">
        <f>HLOOKUP(G$3,'Expense Input File'!$C$2:$E$9,3,FALSE)</f>
        <v>57717.508000000002</v>
      </c>
    </row>
    <row r="8" spans="1:7">
      <c r="A8" s="210"/>
      <c r="B8" s="174" t="s">
        <v>286</v>
      </c>
      <c r="C8" s="114"/>
      <c r="D8" s="215"/>
      <c r="E8" s="215"/>
      <c r="F8" s="213">
        <f>HLOOKUP(F$3,'Expense Input File'!$C$2:$E$9,4,FALSE)</f>
        <v>176580.17499999999</v>
      </c>
      <c r="G8" s="214">
        <f>HLOOKUP(G$3,'Expense Input File'!$C$2:$E$9,4,FALSE)</f>
        <v>178125.06200000001</v>
      </c>
    </row>
    <row r="9" spans="1:7">
      <c r="A9" s="210"/>
      <c r="B9" s="174" t="s">
        <v>63</v>
      </c>
      <c r="C9" s="114"/>
      <c r="D9" s="215"/>
      <c r="E9" s="215"/>
      <c r="F9" s="213">
        <f>HLOOKUP(F$3,'Expense Input File'!$C$2:$E$9,6,FALSE)</f>
        <v>119460.11582800001</v>
      </c>
      <c r="G9" s="214">
        <f>HLOOKUP(G$3,'Expense Input File'!$C$2:$E$9,6,FALSE)</f>
        <v>111982.93511399999</v>
      </c>
    </row>
    <row r="10" spans="1:7">
      <c r="A10" s="210"/>
      <c r="B10" s="174" t="s">
        <v>64</v>
      </c>
      <c r="C10" s="114"/>
      <c r="D10" s="215"/>
      <c r="E10" s="215"/>
      <c r="F10" s="213">
        <f>HLOOKUP(F$3,'Expense Input File'!$C$2:$E$9,7,FALSE)</f>
        <v>93939.626999999993</v>
      </c>
      <c r="G10" s="214">
        <f>HLOOKUP(G$3,'Expense Input File'!$C$2:$E$9,7,FALSE)</f>
        <v>95607.17</v>
      </c>
    </row>
    <row r="11" spans="1:7">
      <c r="A11" s="210"/>
      <c r="B11" s="174" t="s">
        <v>65</v>
      </c>
      <c r="C11" s="114"/>
      <c r="D11" s="215"/>
      <c r="E11" s="215"/>
      <c r="F11" s="213">
        <f>HLOOKUP(F$3,'Expense Input File'!$C$2:$E$9,8,FALSE)</f>
        <v>-7547.5749999999998</v>
      </c>
      <c r="G11" s="214">
        <f>HLOOKUP(G$3,'Expense Input File'!$C$2:$E$9,8,FALSE)</f>
        <v>-8539.3369999999995</v>
      </c>
    </row>
    <row r="12" spans="1:7">
      <c r="A12" s="210"/>
      <c r="B12" s="658" t="s">
        <v>86</v>
      </c>
      <c r="C12" s="658"/>
      <c r="D12" s="215"/>
      <c r="E12" s="215"/>
      <c r="F12" s="213">
        <v>0</v>
      </c>
      <c r="G12" s="214">
        <v>0</v>
      </c>
    </row>
    <row r="13" spans="1:7">
      <c r="A13" s="210"/>
      <c r="B13" s="174" t="s">
        <v>66</v>
      </c>
      <c r="C13" s="114"/>
      <c r="D13" s="215"/>
      <c r="E13" s="215"/>
      <c r="F13" s="213">
        <v>273163.91847353138</v>
      </c>
      <c r="G13" s="214">
        <v>284421.9654574357</v>
      </c>
    </row>
    <row r="14" spans="1:7">
      <c r="A14" s="216" t="s">
        <v>67</v>
      </c>
      <c r="B14" s="114"/>
      <c r="C14" s="114"/>
      <c r="D14" s="215"/>
      <c r="E14" s="215"/>
      <c r="F14" s="213">
        <f>SUM(F6:F11,F13)</f>
        <v>878996.90530153143</v>
      </c>
      <c r="G14" s="214">
        <f>SUM(G6:G11,G13)</f>
        <v>887322.62757143565</v>
      </c>
    </row>
    <row r="15" spans="1:7">
      <c r="A15" s="210"/>
      <c r="B15" s="114"/>
      <c r="C15" s="114"/>
      <c r="D15" s="114"/>
      <c r="E15" s="114"/>
      <c r="F15" s="210"/>
      <c r="G15" s="211"/>
    </row>
    <row r="16" spans="1:7">
      <c r="A16" s="217" t="s">
        <v>68</v>
      </c>
      <c r="B16" s="114"/>
      <c r="C16" s="114"/>
      <c r="D16" s="114"/>
      <c r="E16" s="114"/>
      <c r="F16" s="210"/>
      <c r="G16" s="211"/>
    </row>
    <row r="17" spans="1:7">
      <c r="A17" s="210"/>
      <c r="B17" s="218" t="s">
        <v>68</v>
      </c>
      <c r="C17" s="114"/>
      <c r="D17" s="114"/>
      <c r="E17" s="114"/>
      <c r="F17" s="210"/>
      <c r="G17" s="211"/>
    </row>
    <row r="18" spans="1:7">
      <c r="A18" s="210"/>
      <c r="B18" s="219" t="s">
        <v>69</v>
      </c>
      <c r="C18" s="114"/>
      <c r="D18" s="215"/>
      <c r="E18" s="215"/>
      <c r="F18" s="213">
        <f>HLOOKUP(F$3,'Repayment Inputs'!$C$4:$D$46,4,FALSE)</f>
        <v>1658.904</v>
      </c>
      <c r="G18" s="214">
        <f>HLOOKUP(G$3,'Repayment Inputs'!$C$4:$D$46,4,FALSE)</f>
        <v>1517.8910000000001</v>
      </c>
    </row>
    <row r="19" spans="1:7">
      <c r="A19" s="210"/>
      <c r="B19" s="219" t="s">
        <v>70</v>
      </c>
      <c r="C19" s="114"/>
      <c r="D19" s="215"/>
      <c r="E19" s="215"/>
      <c r="F19" s="213">
        <v>-18968</v>
      </c>
      <c r="G19" s="214">
        <v>-18968</v>
      </c>
    </row>
    <row r="20" spans="1:7">
      <c r="A20" s="210"/>
      <c r="B20" s="219" t="s">
        <v>71</v>
      </c>
      <c r="C20" s="114"/>
      <c r="D20" s="215"/>
      <c r="E20" s="215"/>
      <c r="F20" s="213">
        <f>HLOOKUP(F$3,'Repayment Inputs'!$C$4:$D$46,5,FALSE)+HLOOKUP(F$3,'Repayment Inputs'!$C$4:$D$46,8,FALSE)</f>
        <v>100998.95000000001</v>
      </c>
      <c r="G20" s="214">
        <f>HLOOKUP(G$3,'Repayment Inputs'!$C$4:$D$46,5,FALSE)+HLOOKUP(G$3,'Repayment Inputs'!$C$4:$D$46,8,FALSE)</f>
        <v>106597.242</v>
      </c>
    </row>
    <row r="21" spans="1:7">
      <c r="A21" s="210"/>
      <c r="B21" s="219" t="s">
        <v>72</v>
      </c>
      <c r="C21" s="114"/>
      <c r="D21" s="215"/>
      <c r="E21" s="215"/>
      <c r="F21" s="213">
        <v>561</v>
      </c>
      <c r="G21" s="214">
        <v>561</v>
      </c>
    </row>
    <row r="22" spans="1:7">
      <c r="A22" s="210"/>
      <c r="B22" s="219" t="s">
        <v>73</v>
      </c>
      <c r="C22" s="114"/>
      <c r="D22" s="215"/>
      <c r="E22" s="215"/>
      <c r="F22" s="213">
        <f>HLOOKUP(F$3,'Repayment Inputs'!$C$4:$D$46,14,FALSE)</f>
        <v>13964.23</v>
      </c>
      <c r="G22" s="214">
        <f>HLOOKUP(G$3,'Repayment Inputs'!$C$4:$D$46,14,FALSE)</f>
        <v>5110.8459999999995</v>
      </c>
    </row>
    <row r="23" spans="1:7">
      <c r="A23" s="210"/>
      <c r="B23" s="219" t="s">
        <v>110</v>
      </c>
      <c r="C23" s="114"/>
      <c r="D23" s="215"/>
      <c r="E23" s="215"/>
      <c r="F23" s="213">
        <f>HLOOKUP(F$3,'Repayment Inputs'!$C$4:$D$46,23,FALSE)-HLOOKUP(F$3,'Repayment Inputs'!$C$4:$D$46,14,FALSE)</f>
        <v>77155.657170483697</v>
      </c>
      <c r="G23" s="214">
        <f>HLOOKUP(G$3,'Repayment Inputs'!$C$4:$D$46,23,FALSE)-HLOOKUP(G$3,'Repayment Inputs'!$C$4:$D$46,14,FALSE)</f>
        <v>97552.262000000002</v>
      </c>
    </row>
    <row r="24" spans="1:7">
      <c r="A24" s="210"/>
      <c r="B24" s="220" t="s">
        <v>112</v>
      </c>
      <c r="C24" s="114"/>
      <c r="D24" s="221"/>
      <c r="E24" s="215"/>
      <c r="F24" s="213">
        <f>HLOOKUP(F$3,'Repayment Inputs'!$C$4:$D$46,6,FALSE)+HLOOKUP(F$3,'Repayment Inputs'!$C$4:$D$46,7,FALSE)</f>
        <v>0</v>
      </c>
      <c r="G24" s="214">
        <f>HLOOKUP(G$3,'Repayment Inputs'!$C$4:$D$46,6,FALSE)+HLOOKUP(G$3,'Repayment Inputs'!$C$4:$D$46,7,FALSE)</f>
        <v>555.70799999999997</v>
      </c>
    </row>
    <row r="25" spans="1:7">
      <c r="A25" s="210"/>
      <c r="B25" s="222" t="s">
        <v>74</v>
      </c>
      <c r="C25" s="114"/>
      <c r="D25" s="215"/>
      <c r="E25" s="215"/>
      <c r="F25" s="213">
        <f>-HLOOKUP(F$3,AFUDC!$D$4:$F$29,26,FALSE)</f>
        <v>-24732.824847516255</v>
      </c>
      <c r="G25" s="214">
        <f>-HLOOKUP(G$3,AFUDC!$D$4:$F$29,26,FALSE)</f>
        <v>-24819.316651132063</v>
      </c>
    </row>
    <row r="26" spans="1:7">
      <c r="A26" s="210"/>
      <c r="B26" s="222" t="s">
        <v>75</v>
      </c>
      <c r="C26" s="114"/>
      <c r="D26" s="215"/>
      <c r="E26" s="215"/>
      <c r="F26" s="213">
        <f>-HLOOKUP(F3,'Interest Income'!$A$2:$F$22,21,FALSE)</f>
        <v>-2412.4340000000002</v>
      </c>
      <c r="G26" s="214">
        <f>-HLOOKUP(G3,'Interest Income'!$A$2:$F$22,21,FALSE)</f>
        <v>-3940.52</v>
      </c>
    </row>
    <row r="27" spans="1:7">
      <c r="A27" s="223" t="s">
        <v>76</v>
      </c>
      <c r="B27" s="114"/>
      <c r="C27" s="114"/>
      <c r="D27" s="224"/>
      <c r="E27" s="224"/>
      <c r="F27" s="225">
        <f>SUM(F18:F26)</f>
        <v>148225.48232296744</v>
      </c>
      <c r="G27" s="226">
        <f t="shared" ref="G27" si="1">SUM(G18:G26)</f>
        <v>164167.11234886796</v>
      </c>
    </row>
    <row r="28" spans="1:7">
      <c r="A28" s="210"/>
      <c r="B28" s="114"/>
      <c r="C28" s="114"/>
      <c r="D28" s="114"/>
      <c r="E28" s="114"/>
      <c r="F28" s="210"/>
      <c r="G28" s="211"/>
    </row>
    <row r="29" spans="1:7">
      <c r="A29" s="227" t="s">
        <v>77</v>
      </c>
      <c r="B29" s="114"/>
      <c r="C29" s="114"/>
      <c r="D29" s="224"/>
      <c r="E29" s="224"/>
      <c r="F29" s="225">
        <f>SUM(F14,F27)</f>
        <v>1027222.3876244989</v>
      </c>
      <c r="G29" s="226">
        <f t="shared" ref="G29" si="2">SUM(G14,G27)</f>
        <v>1051489.7399203037</v>
      </c>
    </row>
    <row r="30" spans="1:7">
      <c r="A30" s="210"/>
      <c r="B30" s="114"/>
      <c r="C30" s="114"/>
      <c r="D30" s="114"/>
      <c r="E30" s="114"/>
      <c r="F30" s="210"/>
      <c r="G30" s="211"/>
    </row>
    <row r="31" spans="1:7">
      <c r="A31" s="228" t="s">
        <v>78</v>
      </c>
      <c r="B31" s="114"/>
      <c r="C31" s="114"/>
      <c r="D31" s="224"/>
      <c r="E31" s="224"/>
      <c r="F31" s="225">
        <f>F41</f>
        <v>8626.2553930789873</v>
      </c>
      <c r="G31" s="226">
        <f t="shared" ref="G31" si="3">G41</f>
        <v>347.60358769408776</v>
      </c>
    </row>
    <row r="32" spans="1:7">
      <c r="A32" s="228" t="s">
        <v>79</v>
      </c>
      <c r="B32" s="114"/>
      <c r="C32" s="114"/>
      <c r="D32" s="215"/>
      <c r="E32" s="215"/>
      <c r="F32" s="213">
        <f>F67</f>
        <v>0</v>
      </c>
      <c r="G32" s="214">
        <f t="shared" ref="G32" si="4">G67</f>
        <v>0</v>
      </c>
    </row>
    <row r="33" spans="1:7">
      <c r="A33" s="228" t="s">
        <v>80</v>
      </c>
      <c r="B33" s="114"/>
      <c r="C33" s="114"/>
      <c r="D33" s="224"/>
      <c r="E33" s="224"/>
      <c r="F33" s="225">
        <f>SUM(F31:F32)</f>
        <v>8626.2553930789873</v>
      </c>
      <c r="G33" s="226">
        <f t="shared" ref="G33" si="5">SUM(G31:G32)</f>
        <v>347.60358769408776</v>
      </c>
    </row>
    <row r="34" spans="1:7">
      <c r="A34" s="228"/>
      <c r="B34" s="114"/>
      <c r="C34" s="114"/>
      <c r="D34" s="114"/>
      <c r="E34" s="114"/>
      <c r="F34" s="210"/>
      <c r="G34" s="211"/>
    </row>
    <row r="35" spans="1:7">
      <c r="A35" s="229" t="s">
        <v>81</v>
      </c>
      <c r="B35" s="114"/>
      <c r="C35" s="114"/>
      <c r="D35" s="224"/>
      <c r="E35" s="224"/>
      <c r="F35" s="225">
        <f>SUM(F29,F33)</f>
        <v>1035848.6430175779</v>
      </c>
      <c r="G35" s="226">
        <f t="shared" ref="G35" si="6">SUM(G29,G33)</f>
        <v>1051837.3435079977</v>
      </c>
    </row>
    <row r="36" spans="1:7">
      <c r="A36" s="210"/>
      <c r="B36" s="114"/>
      <c r="C36" s="114"/>
      <c r="D36" s="114"/>
      <c r="E36" s="114"/>
      <c r="F36" s="230"/>
      <c r="G36" s="231"/>
    </row>
    <row r="37" spans="1:7" ht="20.25" customHeight="1" thickBot="1">
      <c r="A37" s="232"/>
      <c r="B37" s="233"/>
      <c r="C37" s="233"/>
      <c r="D37" s="233"/>
      <c r="E37" s="233"/>
      <c r="F37" s="652"/>
      <c r="G37" s="653"/>
    </row>
    <row r="38" spans="1:7" ht="15.75" thickBot="1">
      <c r="A38" s="654" t="s">
        <v>113</v>
      </c>
      <c r="B38" s="655"/>
      <c r="C38" s="655"/>
      <c r="D38" s="262"/>
      <c r="E38" s="262"/>
      <c r="F38" s="263">
        <f>F3</f>
        <v>2018</v>
      </c>
      <c r="G38" s="264">
        <f t="shared" ref="G38" si="7">G3</f>
        <v>2019</v>
      </c>
    </row>
    <row r="39" spans="1:7">
      <c r="A39" s="210"/>
      <c r="B39" s="114"/>
      <c r="C39" s="114"/>
      <c r="D39" s="114"/>
      <c r="E39" s="114"/>
      <c r="F39" s="210"/>
      <c r="G39" s="211"/>
    </row>
    <row r="40" spans="1:7">
      <c r="A40" s="234" t="s">
        <v>114</v>
      </c>
      <c r="B40" s="235"/>
      <c r="C40" s="235"/>
      <c r="D40" s="114"/>
      <c r="E40" s="114"/>
      <c r="F40" s="210"/>
      <c r="G40" s="211"/>
    </row>
    <row r="41" spans="1:7">
      <c r="A41" s="210"/>
      <c r="B41" s="236" t="s">
        <v>148</v>
      </c>
      <c r="C41" s="114"/>
      <c r="D41" s="215"/>
      <c r="E41" s="215"/>
      <c r="F41" s="213">
        <f>IF(F70&lt;0,F70*-1,0)</f>
        <v>8626.2553930789873</v>
      </c>
      <c r="G41" s="214">
        <f t="shared" ref="G41" si="8">IF(G70&lt;0,G70*-1,0)</f>
        <v>347.60358769408776</v>
      </c>
    </row>
    <row r="42" spans="1:7">
      <c r="A42" s="210"/>
      <c r="B42" s="236" t="s">
        <v>146</v>
      </c>
      <c r="C42" s="114"/>
      <c r="D42" s="215"/>
      <c r="E42" s="215"/>
      <c r="F42" s="213">
        <f>-HLOOKUP(F$3,'Capital Input File'!$B$30:$D$52,8,FALSE)</f>
        <v>15000</v>
      </c>
      <c r="G42" s="214">
        <f>-HLOOKUP(G$3,'Capital Input File'!$B$30:$D$52,8,FALSE)</f>
        <v>15000</v>
      </c>
    </row>
    <row r="43" spans="1:7">
      <c r="A43" s="210"/>
      <c r="B43" s="236" t="s">
        <v>147</v>
      </c>
      <c r="C43" s="114"/>
      <c r="D43" s="114"/>
      <c r="E43" s="114"/>
      <c r="F43" s="210"/>
      <c r="G43" s="211"/>
    </row>
    <row r="44" spans="1:7">
      <c r="A44" s="210"/>
      <c r="B44" s="237" t="s">
        <v>66</v>
      </c>
      <c r="C44" s="114"/>
      <c r="D44" s="224"/>
      <c r="E44" s="224"/>
      <c r="F44" s="225">
        <f>F13</f>
        <v>273163.91847353138</v>
      </c>
      <c r="G44" s="226">
        <f t="shared" ref="G44" si="9">G13</f>
        <v>284421.9654574357</v>
      </c>
    </row>
    <row r="45" spans="1:7">
      <c r="A45" s="210"/>
      <c r="B45" s="237" t="s">
        <v>149</v>
      </c>
      <c r="C45" s="114"/>
      <c r="D45" s="224"/>
      <c r="E45" s="224"/>
      <c r="F45" s="225">
        <f>((HLOOKUP(F$3,'Repayment Inputs'!$C$4:$D$46,19,FALSE))+(HLOOKUP(F$3,'Repayment Inputs'!$C$4:$D$46,20,FALSE)))-(HLOOKUP(F$3,AFUDC!$D$4:$F$29,25,FALSE))</f>
        <v>4324.6130910086995</v>
      </c>
      <c r="G45" s="226">
        <f>((HLOOKUP(G$3,'Repayment Inputs'!$C$4:$D$46,19,FALSE))+(HLOOKUP(G$3,'Repayment Inputs'!$C$4:$D$46,20,FALSE)))-(HLOOKUP(G$3,AFUDC!$D$4:$F$29,25,FALSE))</f>
        <v>4110.7669205250004</v>
      </c>
    </row>
    <row r="46" spans="1:7">
      <c r="A46" s="210"/>
      <c r="B46" s="237" t="s">
        <v>72</v>
      </c>
      <c r="C46" s="114"/>
      <c r="D46" s="238"/>
      <c r="E46" s="224"/>
      <c r="F46" s="213">
        <f t="shared" ref="F46:G46" si="10">F21</f>
        <v>561</v>
      </c>
      <c r="G46" s="214">
        <f t="shared" si="10"/>
        <v>561</v>
      </c>
    </row>
    <row r="47" spans="1:7">
      <c r="A47" s="210"/>
      <c r="B47" s="237" t="s">
        <v>70</v>
      </c>
      <c r="C47" s="114"/>
      <c r="D47" s="224"/>
      <c r="E47" s="224"/>
      <c r="F47" s="225">
        <f t="shared" ref="F47:G47" si="11">F19</f>
        <v>-18968</v>
      </c>
      <c r="G47" s="226">
        <f t="shared" si="11"/>
        <v>-18968</v>
      </c>
    </row>
    <row r="48" spans="1:7">
      <c r="A48" s="210"/>
      <c r="B48" s="239" t="s">
        <v>150</v>
      </c>
      <c r="C48" s="240"/>
      <c r="D48" s="114"/>
      <c r="E48" s="114"/>
      <c r="F48" s="210"/>
      <c r="G48" s="211"/>
    </row>
    <row r="49" spans="1:7">
      <c r="A49" s="210"/>
      <c r="B49" s="241" t="s">
        <v>153</v>
      </c>
      <c r="C49" s="114"/>
      <c r="D49" s="215"/>
      <c r="E49" s="215"/>
      <c r="F49" s="213">
        <f>-(HLOOKUP(F$3,'Repayment Inputs'!$C$4:$D$45,38,FALSE)+HLOOKUP(F$3,'Repayment Inputs'!$C$4:$D$45,39,FALSE))</f>
        <v>-17256.411207619043</v>
      </c>
      <c r="G49" s="214">
        <f>-(HLOOKUP(G$3,'Repayment Inputs'!$C$4:$D$45,38,FALSE)+HLOOKUP(G$3,'Repayment Inputs'!$C$4:$D$45,39,FALSE))</f>
        <v>-14766.860225654802</v>
      </c>
    </row>
    <row r="50" spans="1:7">
      <c r="A50" s="210"/>
      <c r="B50" s="242" t="s">
        <v>151</v>
      </c>
      <c r="C50" s="114"/>
      <c r="D50" s="215"/>
      <c r="E50" s="215"/>
      <c r="F50" s="213">
        <v>-9168.364749999997</v>
      </c>
      <c r="G50" s="214">
        <v>-3387.1427400000002</v>
      </c>
    </row>
    <row r="51" spans="1:7">
      <c r="A51" s="210"/>
      <c r="B51" s="243" t="s">
        <v>152</v>
      </c>
      <c r="C51" s="114"/>
      <c r="D51" s="215"/>
      <c r="E51" s="215"/>
      <c r="F51" s="213">
        <f>SUM(F41:F50)</f>
        <v>256283.011</v>
      </c>
      <c r="G51" s="214">
        <f t="shared" ref="G51" si="12">SUM(G41:G50)</f>
        <v>267319.33300000004</v>
      </c>
    </row>
    <row r="52" spans="1:7">
      <c r="A52" s="210"/>
      <c r="B52" s="114"/>
      <c r="C52" s="114"/>
      <c r="D52" s="114"/>
      <c r="E52" s="114"/>
      <c r="F52" s="210"/>
      <c r="G52" s="211"/>
    </row>
    <row r="53" spans="1:7">
      <c r="A53" s="244" t="s">
        <v>158</v>
      </c>
      <c r="B53" s="245"/>
      <c r="C53" s="114"/>
      <c r="D53" s="114"/>
      <c r="E53" s="114"/>
      <c r="F53" s="210"/>
      <c r="G53" s="211"/>
    </row>
    <row r="54" spans="1:7">
      <c r="A54" s="210"/>
      <c r="B54" s="246" t="s">
        <v>159</v>
      </c>
      <c r="C54" s="246"/>
      <c r="D54" s="114"/>
      <c r="E54" s="114"/>
      <c r="F54" s="225"/>
      <c r="G54" s="211"/>
    </row>
    <row r="55" spans="1:7">
      <c r="A55" s="210"/>
      <c r="B55" s="247" t="s">
        <v>160</v>
      </c>
      <c r="C55" s="114"/>
      <c r="D55" s="215"/>
      <c r="E55" s="215"/>
      <c r="F55" s="213">
        <f>-(F59+(HLOOKUP(F$3,'Capital Input File'!$B$30:$D$52,12,FALSE)))</f>
        <v>-505808.04284751625</v>
      </c>
      <c r="G55" s="214">
        <f>-(G59+(HLOOKUP(G$3,'Capital Input File'!$B$30:$D$52,12,FALSE)))</f>
        <v>-521577.32165113202</v>
      </c>
    </row>
    <row r="56" spans="1:7">
      <c r="A56" s="210"/>
      <c r="B56" s="248" t="s">
        <v>161</v>
      </c>
      <c r="C56" s="114"/>
      <c r="D56" s="249"/>
      <c r="E56" s="249"/>
      <c r="F56" s="213">
        <f>F55</f>
        <v>-505808.04284751625</v>
      </c>
      <c r="G56" s="214">
        <f t="shared" ref="G56" si="13">G55</f>
        <v>-521577.32165113202</v>
      </c>
    </row>
    <row r="57" spans="1:7">
      <c r="A57" s="210"/>
      <c r="B57" s="245"/>
      <c r="C57" s="114"/>
      <c r="D57" s="114"/>
      <c r="E57" s="114"/>
      <c r="F57" s="210"/>
      <c r="G57" s="211"/>
    </row>
    <row r="58" spans="1:7">
      <c r="A58" s="250" t="s">
        <v>162</v>
      </c>
      <c r="B58" s="114"/>
      <c r="C58" s="114"/>
      <c r="D58" s="114"/>
      <c r="E58" s="114"/>
      <c r="F58" s="210"/>
      <c r="G58" s="211"/>
    </row>
    <row r="59" spans="1:7">
      <c r="A59" s="210"/>
      <c r="B59" s="251" t="s">
        <v>163</v>
      </c>
      <c r="C59" s="114"/>
      <c r="D59" s="215"/>
      <c r="E59" s="215"/>
      <c r="F59" s="213">
        <f>HLOOKUP(F$3,'Capital Input File'!$B$30:$D$52,10,FALSE)</f>
        <v>490808.04284751625</v>
      </c>
      <c r="G59" s="214">
        <f>HLOOKUP(G$3,'Capital Input File'!$B$30:$D$52,10,FALSE)</f>
        <v>506577.32165113202</v>
      </c>
    </row>
    <row r="60" spans="1:7">
      <c r="A60" s="210"/>
      <c r="B60" s="251" t="s">
        <v>164</v>
      </c>
      <c r="C60" s="114"/>
      <c r="D60" s="215"/>
      <c r="E60" s="215"/>
      <c r="F60" s="213">
        <f>-HLOOKUP(F$3,'Repayment Inputs'!$C$4:$D$46,33,FALSE)</f>
        <v>-191503.61900000001</v>
      </c>
      <c r="G60" s="214">
        <f>-HLOOKUP(G$3,'Repayment Inputs'!$C$4:$D$46,33,FALSE)</f>
        <v>-4837.5200000000004</v>
      </c>
    </row>
    <row r="61" spans="1:7">
      <c r="A61" s="210"/>
      <c r="B61" s="251" t="s">
        <v>165</v>
      </c>
      <c r="C61" s="114"/>
      <c r="D61" s="215"/>
      <c r="E61" s="215"/>
      <c r="F61" s="213">
        <f>HLOOKUP(F$3,'Repayment Inputs'!$C$4:$D$46,43,FALSE)</f>
        <v>-1873.598</v>
      </c>
      <c r="G61" s="214">
        <f>HLOOKUP(G$3,'Repayment Inputs'!$C$4:$D$46,43,FALSE)</f>
        <v>-12466.001</v>
      </c>
    </row>
    <row r="62" spans="1:7">
      <c r="A62" s="210"/>
      <c r="B62" s="251" t="s">
        <v>166</v>
      </c>
      <c r="C62" s="114"/>
      <c r="D62" s="215"/>
      <c r="E62" s="215"/>
      <c r="F62" s="213">
        <f>-HLOOKUP(F$3,'Repayment Inputs'!$C$4:$D$46,28,FALSE)</f>
        <v>-45950</v>
      </c>
      <c r="G62" s="214">
        <f>-HLOOKUP(G$3,'Repayment Inputs'!$C$4:$D$46,28,FALSE)</f>
        <v>-213963.23800000001</v>
      </c>
    </row>
    <row r="63" spans="1:7">
      <c r="A63" s="210"/>
      <c r="B63" s="251" t="s">
        <v>167</v>
      </c>
      <c r="C63" s="114"/>
      <c r="D63" s="252"/>
      <c r="E63" s="215"/>
      <c r="F63" s="213">
        <f>-HLOOKUP(F$3,'Repayment Inputs'!$C$4:$D$46,27,FALSE)</f>
        <v>-1955.7940000000001</v>
      </c>
      <c r="G63" s="214">
        <f>-HLOOKUP(G$3,'Repayment Inputs'!$C$4:$D$46,27,FALSE)</f>
        <v>-21052.574000000001</v>
      </c>
    </row>
    <row r="64" spans="1:7">
      <c r="A64" s="210"/>
      <c r="B64" s="253" t="s">
        <v>168</v>
      </c>
      <c r="C64" s="114"/>
      <c r="D64" s="224"/>
      <c r="E64" s="224"/>
      <c r="F64" s="225">
        <f>SUM(F59:F63)</f>
        <v>249525.03184751625</v>
      </c>
      <c r="G64" s="226">
        <f t="shared" ref="G64" si="14">SUM(G59:G63)</f>
        <v>254257.98865113201</v>
      </c>
    </row>
    <row r="65" spans="1:7">
      <c r="A65" s="210"/>
      <c r="B65" s="114"/>
      <c r="C65" s="114"/>
      <c r="D65" s="114"/>
      <c r="E65" s="114"/>
      <c r="F65" s="210"/>
      <c r="G65" s="211"/>
    </row>
    <row r="66" spans="1:7">
      <c r="A66" s="254" t="s">
        <v>169</v>
      </c>
      <c r="B66" s="114"/>
      <c r="C66" s="114"/>
      <c r="D66" s="215"/>
      <c r="E66" s="215"/>
      <c r="F66" s="213">
        <f>F64+F56+F51</f>
        <v>0</v>
      </c>
      <c r="G66" s="214">
        <f t="shared" ref="G66" si="15">G64+G56+G51</f>
        <v>0</v>
      </c>
    </row>
    <row r="67" spans="1:7">
      <c r="A67" s="255" t="s">
        <v>79</v>
      </c>
      <c r="B67" s="114"/>
      <c r="C67" s="114"/>
      <c r="D67" s="114"/>
      <c r="E67" s="114"/>
      <c r="F67" s="213">
        <v>0</v>
      </c>
      <c r="G67" s="214">
        <v>0</v>
      </c>
    </row>
    <row r="68" spans="1:7">
      <c r="A68" s="256" t="s">
        <v>170</v>
      </c>
      <c r="B68" s="114"/>
      <c r="C68" s="114"/>
      <c r="D68" s="215"/>
      <c r="E68" s="215"/>
      <c r="F68" s="213">
        <f>F67+F66</f>
        <v>0</v>
      </c>
      <c r="G68" s="214">
        <f t="shared" ref="G68" si="16">G67+G66</f>
        <v>0</v>
      </c>
    </row>
    <row r="69" spans="1:7">
      <c r="A69" s="210"/>
      <c r="B69" s="114"/>
      <c r="C69" s="114"/>
      <c r="D69" s="114"/>
      <c r="E69" s="114"/>
      <c r="F69" s="210"/>
      <c r="G69" s="211"/>
    </row>
    <row r="70" spans="1:7" ht="15.75" thickBot="1">
      <c r="A70" s="257" t="s">
        <v>171</v>
      </c>
      <c r="B70" s="258"/>
      <c r="C70" s="258"/>
      <c r="D70" s="259"/>
      <c r="E70" s="259"/>
      <c r="F70" s="260">
        <f>SUM(F42:F50)+F56+F64</f>
        <v>-8626.2553930789873</v>
      </c>
      <c r="G70" s="261">
        <f t="shared" ref="G70" si="17">SUM(G42:G50)+G56+G64</f>
        <v>-347.60358769408776</v>
      </c>
    </row>
  </sheetData>
  <customSheetViews>
    <customSheetView guid="{2226E858-00AE-4A92-8CF6-5B54D2FA62D4}" showPageBreaks="1" fitToPage="1">
      <selection activeCell="E8" sqref="E8"/>
      <pageMargins left="0.25" right="0.25" top="0.75" bottom="0.75" header="0.3" footer="0.3"/>
      <pageSetup scale="19" orientation="portrait" r:id="rId1"/>
    </customSheetView>
  </customSheetViews>
  <mergeCells count="6">
    <mergeCell ref="A1:G1"/>
    <mergeCell ref="F2:G2"/>
    <mergeCell ref="F37:G37"/>
    <mergeCell ref="A38:C38"/>
    <mergeCell ref="A3:C3"/>
    <mergeCell ref="B12:C12"/>
  </mergeCells>
  <pageMargins left="0.25" right="0.25" top="0.75" bottom="0.75" header="0.3" footer="0.3"/>
  <pageSetup scale="20"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outlinePr summaryBelow="0" summaryRight="0"/>
    <pageSetUpPr fitToPage="1"/>
  </sheetPr>
  <dimension ref="A1:M17"/>
  <sheetViews>
    <sheetView workbookViewId="0">
      <selection activeCell="L1" sqref="L1"/>
    </sheetView>
  </sheetViews>
  <sheetFormatPr defaultRowHeight="15"/>
  <cols>
    <col min="1" max="1" width="18.85546875" style="7" customWidth="1"/>
    <col min="2" max="2" width="22.28515625" style="7" customWidth="1"/>
    <col min="3" max="3" width="11.7109375" style="7" customWidth="1"/>
    <col min="4" max="4" width="13" style="7" customWidth="1"/>
    <col min="5" max="5" width="14.42578125" style="7" customWidth="1"/>
    <col min="6" max="11" width="10.7109375" style="7" customWidth="1"/>
    <col min="12" max="12" width="13.28515625" style="7" bestFit="1" customWidth="1"/>
    <col min="13" max="13" width="10.5703125" style="7" bestFit="1" customWidth="1"/>
    <col min="14" max="16384" width="9.140625" style="7"/>
  </cols>
  <sheetData>
    <row r="1" spans="1:13" ht="18.75" thickBot="1">
      <c r="A1" s="647" t="s">
        <v>411</v>
      </c>
      <c r="B1" s="648"/>
      <c r="C1" s="648"/>
      <c r="D1" s="648"/>
      <c r="E1" s="648"/>
      <c r="F1" s="648"/>
      <c r="G1" s="648"/>
      <c r="H1" s="648"/>
      <c r="I1" s="648"/>
      <c r="J1" s="648"/>
      <c r="K1" s="649"/>
    </row>
    <row r="2" spans="1:13" ht="15" customHeight="1">
      <c r="A2" s="281"/>
      <c r="B2" s="282"/>
      <c r="C2" s="282"/>
      <c r="D2" s="660" t="s">
        <v>173</v>
      </c>
      <c r="E2" s="661" t="s">
        <v>403</v>
      </c>
      <c r="F2" s="663" t="s">
        <v>175</v>
      </c>
      <c r="G2" s="664" t="s">
        <v>404</v>
      </c>
      <c r="H2" s="664" t="s">
        <v>405</v>
      </c>
      <c r="I2" s="664" t="s">
        <v>406</v>
      </c>
      <c r="J2" s="664" t="s">
        <v>407</v>
      </c>
      <c r="K2" s="665" t="s">
        <v>408</v>
      </c>
    </row>
    <row r="3" spans="1:13">
      <c r="A3" s="283">
        <v>2018</v>
      </c>
      <c r="B3" s="659" t="s">
        <v>282</v>
      </c>
      <c r="C3" s="659"/>
      <c r="D3" s="660"/>
      <c r="E3" s="662"/>
      <c r="F3" s="663"/>
      <c r="G3" s="663"/>
      <c r="H3" s="663"/>
      <c r="I3" s="663"/>
      <c r="J3" s="663"/>
      <c r="K3" s="666"/>
      <c r="L3" s="194"/>
    </row>
    <row r="4" spans="1:13">
      <c r="A4" s="267" t="s">
        <v>283</v>
      </c>
      <c r="B4" s="2"/>
      <c r="C4" s="268"/>
      <c r="D4" s="199">
        <f>SUM(E4:K4)</f>
        <v>486372.87099999998</v>
      </c>
      <c r="E4" s="269">
        <f>'18 Seg Dev'!E$46</f>
        <v>7003.3683891111541</v>
      </c>
      <c r="F4" s="199">
        <f>'18 Seg Dev'!F$46</f>
        <v>303090.50171821262</v>
      </c>
      <c r="G4" s="199">
        <f>'18 Seg Dev'!G$46</f>
        <v>39238.979321954117</v>
      </c>
      <c r="H4" s="199">
        <f>'18 Seg Dev'!H$46</f>
        <v>5425.8254195953705</v>
      </c>
      <c r="I4" s="199">
        <f>'18 Seg Dev'!I$46</f>
        <v>1695.8642149457601</v>
      </c>
      <c r="J4" s="199">
        <f>'18 Seg Dev'!J$46</f>
        <v>1046.148911972921</v>
      </c>
      <c r="K4" s="270">
        <f>'18 Seg Dev'!K$46</f>
        <v>128872.18302420806</v>
      </c>
      <c r="L4" s="194"/>
      <c r="M4" s="193"/>
    </row>
    <row r="5" spans="1:13">
      <c r="A5" s="267" t="s">
        <v>284</v>
      </c>
      <c r="B5" s="2"/>
      <c r="C5" s="187"/>
      <c r="D5" s="199">
        <f>SUM(E5:K5)</f>
        <v>119460.11582799999</v>
      </c>
      <c r="E5" s="269">
        <f>'18 Seg Dev'!E$62</f>
        <v>49.700348864435917</v>
      </c>
      <c r="F5" s="199">
        <f>'18 Seg Dev'!F$62</f>
        <v>17167.571952079175</v>
      </c>
      <c r="G5" s="199">
        <f>'18 Seg Dev'!G$62</f>
        <v>1347.2625485363315</v>
      </c>
      <c r="H5" s="199">
        <f>'18 Seg Dev'!H$62</f>
        <v>11.606945660157665</v>
      </c>
      <c r="I5" s="199">
        <f>'18 Seg Dev'!I$62</f>
        <v>205.3627050013263</v>
      </c>
      <c r="J5" s="199">
        <f>'18 Seg Dev'!J$62</f>
        <v>8.515167699778992</v>
      </c>
      <c r="K5" s="270">
        <f>'18 Seg Dev'!K$62</f>
        <v>100670.09616015879</v>
      </c>
      <c r="L5" s="194"/>
    </row>
    <row r="6" spans="1:13">
      <c r="A6" s="267" t="s">
        <v>201</v>
      </c>
      <c r="B6" s="2"/>
      <c r="C6" s="187"/>
      <c r="D6" s="199">
        <f>SUM(E6:K6)</f>
        <v>273163.91847353132</v>
      </c>
      <c r="E6" s="269">
        <f>'18 Seg Dev'!E$23</f>
        <v>3538.2319805890615</v>
      </c>
      <c r="F6" s="199">
        <f>'18 Seg Dev'!F$23</f>
        <v>202895.43315768585</v>
      </c>
      <c r="G6" s="199">
        <f>'18 Seg Dev'!G$23</f>
        <v>29695.109748454011</v>
      </c>
      <c r="H6" s="199">
        <f>'18 Seg Dev'!H$23</f>
        <v>3599.6246027533698</v>
      </c>
      <c r="I6" s="199">
        <f>'18 Seg Dev'!I$23</f>
        <v>565.17879800573132</v>
      </c>
      <c r="J6" s="199">
        <f>'18 Seg Dev'!J$23</f>
        <v>345.20103535993417</v>
      </c>
      <c r="K6" s="270">
        <f>'18 Seg Dev'!K$23</f>
        <v>32525.139150683321</v>
      </c>
      <c r="L6" s="194"/>
    </row>
    <row r="7" spans="1:13">
      <c r="A7" s="267" t="s">
        <v>76</v>
      </c>
      <c r="B7" s="2"/>
      <c r="C7" s="271"/>
      <c r="D7" s="199">
        <f>SUM(E7:K7)</f>
        <v>148225.48232296749</v>
      </c>
      <c r="E7" s="272">
        <f>'18 Seg Dev'!E$11</f>
        <v>2122.7678463347911</v>
      </c>
      <c r="F7" s="198">
        <f>'18 Seg Dev'!F$11</f>
        <v>121401.04610011858</v>
      </c>
      <c r="G7" s="198">
        <f>'18 Seg Dev'!G$11</f>
        <v>18167.191663444002</v>
      </c>
      <c r="H7" s="198">
        <f>'18 Seg Dev'!H$11</f>
        <v>2183.841266654596</v>
      </c>
      <c r="I7" s="198">
        <f>'18 Seg Dev'!I$11</f>
        <v>265.47606395631743</v>
      </c>
      <c r="J7" s="198">
        <f>'18 Seg Dev'!J$11</f>
        <v>161.31333093295075</v>
      </c>
      <c r="K7" s="273">
        <f>'18 Seg Dev'!K$11</f>
        <v>3923.8460515262277</v>
      </c>
      <c r="L7" s="194"/>
    </row>
    <row r="8" spans="1:13">
      <c r="A8" s="267" t="s">
        <v>266</v>
      </c>
      <c r="B8" s="2"/>
      <c r="C8" s="271"/>
      <c r="D8" s="199">
        <f>SUM(E8:K8)</f>
        <v>8626.2553930789873</v>
      </c>
      <c r="E8" s="269">
        <f>'18 Seg Dev'!E$18</f>
        <v>56.723291509367321</v>
      </c>
      <c r="F8" s="199">
        <f>'18 Seg Dev'!F$18</f>
        <v>5854.2916490760945</v>
      </c>
      <c r="G8" s="199">
        <f>'18 Seg Dev'!G$18</f>
        <v>2540.6302010255527</v>
      </c>
      <c r="H8" s="199">
        <f>'18 Seg Dev'!H$18</f>
        <v>58.35525773226631</v>
      </c>
      <c r="I8" s="199">
        <f>'18 Seg Dev'!I$18</f>
        <v>7.0938874406611223</v>
      </c>
      <c r="J8" s="199">
        <f>'18 Seg Dev'!J$18</f>
        <v>4.3105152127943445</v>
      </c>
      <c r="K8" s="270">
        <f>'18 Seg Dev'!K$18</f>
        <v>104.85059108225209</v>
      </c>
      <c r="L8" s="194"/>
    </row>
    <row r="9" spans="1:13">
      <c r="A9" s="274" t="s">
        <v>285</v>
      </c>
      <c r="B9" s="2"/>
      <c r="C9" s="268"/>
      <c r="D9" s="199">
        <f>SUM(D4:D8)</f>
        <v>1035848.6430175778</v>
      </c>
      <c r="E9" s="269">
        <f>SUM(E4:E8)</f>
        <v>12770.79185640881</v>
      </c>
      <c r="F9" s="199">
        <f t="shared" ref="F9:K9" si="0">SUM(F4:F8)</f>
        <v>650408.84457717231</v>
      </c>
      <c r="G9" s="199">
        <f t="shared" si="0"/>
        <v>90989.173483414008</v>
      </c>
      <c r="H9" s="199">
        <f t="shared" si="0"/>
        <v>11279.253492395761</v>
      </c>
      <c r="I9" s="199">
        <f t="shared" si="0"/>
        <v>2738.9756693497961</v>
      </c>
      <c r="J9" s="199">
        <f t="shared" si="0"/>
        <v>1565.4889611783792</v>
      </c>
      <c r="K9" s="270">
        <f t="shared" si="0"/>
        <v>266096.11497765867</v>
      </c>
      <c r="L9" s="194"/>
    </row>
    <row r="10" spans="1:13">
      <c r="A10" s="284"/>
      <c r="B10" s="285"/>
      <c r="C10" s="286"/>
      <c r="D10" s="287"/>
      <c r="E10" s="287"/>
      <c r="F10" s="287"/>
      <c r="G10" s="287"/>
      <c r="H10" s="287"/>
      <c r="I10" s="287"/>
      <c r="J10" s="287"/>
      <c r="K10" s="288"/>
      <c r="L10" s="194"/>
    </row>
    <row r="11" spans="1:13">
      <c r="A11" s="283">
        <f>A3+1</f>
        <v>2019</v>
      </c>
      <c r="B11" s="659" t="s">
        <v>282</v>
      </c>
      <c r="C11" s="659"/>
      <c r="D11" s="289"/>
      <c r="E11" s="289"/>
      <c r="F11" s="289"/>
      <c r="G11" s="289"/>
      <c r="H11" s="289"/>
      <c r="I11" s="289"/>
      <c r="J11" s="289"/>
      <c r="K11" s="290"/>
      <c r="L11" s="194"/>
    </row>
    <row r="12" spans="1:13">
      <c r="A12" s="267" t="s">
        <v>283</v>
      </c>
      <c r="B12" s="2"/>
      <c r="C12" s="268"/>
      <c r="D12" s="199">
        <f>SUM(E12:K12)</f>
        <v>490917.72700000001</v>
      </c>
      <c r="E12" s="269">
        <f>'19 Seg Dev'!E$46</f>
        <v>7046.8664807051355</v>
      </c>
      <c r="F12" s="199">
        <f>'19 Seg Dev'!F$46</f>
        <v>304952.20956134901</v>
      </c>
      <c r="G12" s="199">
        <f>'19 Seg Dev'!G$46</f>
        <v>39482.69357797617</v>
      </c>
      <c r="H12" s="199">
        <f>'19 Seg Dev'!H$46</f>
        <v>5459.5253533931482</v>
      </c>
      <c r="I12" s="199">
        <f>'19 Seg Dev'!I$46</f>
        <v>1706.3972688784015</v>
      </c>
      <c r="J12" s="199">
        <f>'19 Seg Dev'!J$46</f>
        <v>1052.6465683384913</v>
      </c>
      <c r="K12" s="270">
        <f>'19 Seg Dev'!K$46</f>
        <v>131217.38818935963</v>
      </c>
      <c r="L12" s="194"/>
      <c r="M12" s="193"/>
    </row>
    <row r="13" spans="1:13">
      <c r="A13" s="267" t="s">
        <v>284</v>
      </c>
      <c r="B13" s="2"/>
      <c r="C13" s="187"/>
      <c r="D13" s="199">
        <f>SUM(E13:K13)</f>
        <v>111982.93511399999</v>
      </c>
      <c r="E13" s="269">
        <f>'19 Seg Dev'!E$62</f>
        <v>49.627281439323639</v>
      </c>
      <c r="F13" s="199">
        <f>'19 Seg Dev'!F$62</f>
        <v>16600.839360089278</v>
      </c>
      <c r="G13" s="199">
        <f>'19 Seg Dev'!G$62</f>
        <v>1346.9129811068299</v>
      </c>
      <c r="H13" s="199">
        <f>'19 Seg Dev'!H$62</f>
        <v>11.528847636415719</v>
      </c>
      <c r="I13" s="199">
        <f>'19 Seg Dev'!I$62</f>
        <v>205.35368041784193</v>
      </c>
      <c r="J13" s="199">
        <f>'19 Seg Dev'!J$62</f>
        <v>8.5096968818953656</v>
      </c>
      <c r="K13" s="270">
        <f>'19 Seg Dev'!K$62</f>
        <v>93760.163266428412</v>
      </c>
      <c r="L13" s="194"/>
    </row>
    <row r="14" spans="1:13">
      <c r="A14" s="267" t="s">
        <v>201</v>
      </c>
      <c r="B14" s="2"/>
      <c r="C14" s="187"/>
      <c r="D14" s="199">
        <f>SUM(E14:K14)</f>
        <v>284421.9654574357</v>
      </c>
      <c r="E14" s="269">
        <f>'19 Seg Dev'!E$23</f>
        <v>3606.3657859922287</v>
      </c>
      <c r="F14" s="199">
        <f>'19 Seg Dev'!F$23</f>
        <v>211487.95651253418</v>
      </c>
      <c r="G14" s="199">
        <f>'19 Seg Dev'!G$23</f>
        <v>30373.854764966018</v>
      </c>
      <c r="H14" s="199">
        <f>'19 Seg Dev'!H$23</f>
        <v>3654.4109353794029</v>
      </c>
      <c r="I14" s="199">
        <f>'19 Seg Dev'!I$23</f>
        <v>581.67738497010691</v>
      </c>
      <c r="J14" s="199">
        <f>'19 Seg Dev'!J$23</f>
        <v>355.37872449905205</v>
      </c>
      <c r="K14" s="270">
        <f>'19 Seg Dev'!K$23</f>
        <v>34362.321349094709</v>
      </c>
      <c r="L14" s="194"/>
    </row>
    <row r="15" spans="1:13">
      <c r="A15" s="267" t="s">
        <v>76</v>
      </c>
      <c r="B15" s="2"/>
      <c r="C15" s="271"/>
      <c r="D15" s="199">
        <f>SUM(E15:K15)</f>
        <v>164167.11234886796</v>
      </c>
      <c r="E15" s="272">
        <f>'19 Seg Dev'!E$11</f>
        <v>2240.1718802707674</v>
      </c>
      <c r="F15" s="198">
        <f>'19 Seg Dev'!F$11</f>
        <v>134792.04156077717</v>
      </c>
      <c r="G15" s="198">
        <f>'19 Seg Dev'!G$11</f>
        <v>19609.933008747303</v>
      </c>
      <c r="H15" s="198">
        <f>'19 Seg Dev'!H$11</f>
        <v>2299.7770497225492</v>
      </c>
      <c r="I15" s="198">
        <f>'19 Seg Dev'!I$11</f>
        <v>280.34629312374818</v>
      </c>
      <c r="J15" s="198">
        <f>'19 Seg Dev'!J$11</f>
        <v>170.37033025612715</v>
      </c>
      <c r="K15" s="273">
        <f>'19 Seg Dev'!K$11</f>
        <v>4774.4722259703012</v>
      </c>
      <c r="L15" s="194"/>
    </row>
    <row r="16" spans="1:13">
      <c r="A16" s="267" t="s">
        <v>266</v>
      </c>
      <c r="B16" s="2"/>
      <c r="C16" s="271"/>
      <c r="D16" s="199">
        <f>SUM(E16:K16)</f>
        <v>347.60358769408759</v>
      </c>
      <c r="E16" s="269">
        <f>'19 Seg Dev'!E$18</f>
        <v>-27.135962224578325</v>
      </c>
      <c r="F16" s="199">
        <f>'19 Seg Dev'!F$18</f>
        <v>983.68703305952863</v>
      </c>
      <c r="G16" s="199">
        <f>'19 Seg Dev'!G$18</f>
        <v>-517.79501748550581</v>
      </c>
      <c r="H16" s="199">
        <f>'19 Seg Dev'!H$18</f>
        <v>-27.857979870134002</v>
      </c>
      <c r="I16" s="199">
        <f>'19 Seg Dev'!I$18</f>
        <v>-3.3959297886941986</v>
      </c>
      <c r="J16" s="199">
        <f>'19 Seg Dev'!J$18</f>
        <v>-2.063753628342305</v>
      </c>
      <c r="K16" s="270">
        <f>'19 Seg Dev'!K$18</f>
        <v>-57.834802368186445</v>
      </c>
      <c r="L16" s="194"/>
    </row>
    <row r="17" spans="1:12" ht="15.75" thickBot="1">
      <c r="A17" s="275" t="s">
        <v>285</v>
      </c>
      <c r="B17" s="276"/>
      <c r="C17" s="277"/>
      <c r="D17" s="278">
        <f>SUM(D12:D16)</f>
        <v>1051837.3435079977</v>
      </c>
      <c r="E17" s="279">
        <f>SUM(E12:E16)</f>
        <v>12915.895466182876</v>
      </c>
      <c r="F17" s="278">
        <f t="shared" ref="F17:K17" si="1">SUM(F12:F16)</f>
        <v>668816.73402780923</v>
      </c>
      <c r="G17" s="278">
        <f t="shared" si="1"/>
        <v>90295.599315310814</v>
      </c>
      <c r="H17" s="278">
        <f t="shared" si="1"/>
        <v>11397.384206261382</v>
      </c>
      <c r="I17" s="278">
        <f t="shared" si="1"/>
        <v>2770.3786976014044</v>
      </c>
      <c r="J17" s="278">
        <f t="shared" si="1"/>
        <v>1584.8415663472235</v>
      </c>
      <c r="K17" s="280">
        <f t="shared" si="1"/>
        <v>264056.51022848487</v>
      </c>
      <c r="L17" s="194"/>
    </row>
  </sheetData>
  <customSheetViews>
    <customSheetView guid="{2226E858-00AE-4A92-8CF6-5B54D2FA62D4}" showPageBreaks="1" fitToPage="1">
      <selection activeCell="B6" sqref="B6"/>
      <pageMargins left="0.7" right="0.7" top="0.75" bottom="0.75" header="0.3" footer="0.3"/>
      <pageSetup scale="34" orientation="portrait" r:id="rId1"/>
    </customSheetView>
  </customSheetViews>
  <mergeCells count="11">
    <mergeCell ref="B11:C11"/>
    <mergeCell ref="B3:C3"/>
    <mergeCell ref="A1:K1"/>
    <mergeCell ref="D2:D3"/>
    <mergeCell ref="E2:E3"/>
    <mergeCell ref="F2:F3"/>
    <mergeCell ref="G2:G3"/>
    <mergeCell ref="H2:H3"/>
    <mergeCell ref="I2:I3"/>
    <mergeCell ref="J2:J3"/>
    <mergeCell ref="K2:K3"/>
  </mergeCells>
  <pageMargins left="0.7" right="0.7" top="0.75" bottom="0.75" header="0.3" footer="0.3"/>
  <pageSetup scale="40"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H68"/>
  <sheetViews>
    <sheetView workbookViewId="0">
      <selection sqref="A1:E1"/>
    </sheetView>
  </sheetViews>
  <sheetFormatPr defaultRowHeight="15"/>
  <cols>
    <col min="1" max="1" width="21.140625" customWidth="1"/>
    <col min="2" max="2" width="42.7109375" customWidth="1"/>
    <col min="3" max="3" width="10.140625" bestFit="1" customWidth="1"/>
    <col min="4" max="5" width="12.140625" customWidth="1"/>
    <col min="6" max="6" width="12.5703125" bestFit="1" customWidth="1"/>
    <col min="7" max="7" width="12.140625" bestFit="1" customWidth="1"/>
  </cols>
  <sheetData>
    <row r="1" spans="1:8" ht="18.75" thickBot="1">
      <c r="A1" s="647" t="s">
        <v>412</v>
      </c>
      <c r="B1" s="648"/>
      <c r="C1" s="648"/>
      <c r="D1" s="648"/>
      <c r="E1" s="649"/>
      <c r="F1" s="291"/>
      <c r="G1" s="291"/>
      <c r="H1" s="190"/>
    </row>
    <row r="2" spans="1:8" ht="15.75" thickBot="1">
      <c r="A2" s="669" t="s">
        <v>11</v>
      </c>
      <c r="B2" s="670"/>
      <c r="C2" s="670"/>
      <c r="D2" s="293">
        <v>2018</v>
      </c>
      <c r="E2" s="294">
        <f t="shared" ref="E2" si="0">D2+1</f>
        <v>2019</v>
      </c>
      <c r="F2" s="203"/>
    </row>
    <row r="3" spans="1:8">
      <c r="A3" s="297" t="s">
        <v>14</v>
      </c>
      <c r="B3" s="298"/>
      <c r="C3" s="299"/>
      <c r="D3" s="300">
        <v>167050.00099999999</v>
      </c>
      <c r="E3" s="301">
        <v>168007.32399999999</v>
      </c>
      <c r="F3" s="203"/>
    </row>
    <row r="4" spans="1:8">
      <c r="A4" s="302" t="s">
        <v>15</v>
      </c>
      <c r="B4" s="215"/>
      <c r="C4" s="295"/>
      <c r="D4" s="296">
        <v>56350.642999999996</v>
      </c>
      <c r="E4" s="303">
        <v>57717.508000000002</v>
      </c>
      <c r="F4" s="203"/>
    </row>
    <row r="5" spans="1:8">
      <c r="A5" s="302" t="s">
        <v>287</v>
      </c>
      <c r="B5" s="215"/>
      <c r="C5" s="295"/>
      <c r="D5" s="296">
        <v>176580.17499999999</v>
      </c>
      <c r="E5" s="303">
        <v>178125.06200000001</v>
      </c>
      <c r="F5" s="203"/>
    </row>
    <row r="6" spans="1:8">
      <c r="A6" s="302" t="s">
        <v>16</v>
      </c>
      <c r="B6" s="215"/>
      <c r="C6" s="295"/>
      <c r="D6" s="296">
        <v>9929.3870000000006</v>
      </c>
      <c r="E6" s="303">
        <v>9936.4979999999996</v>
      </c>
      <c r="F6" s="203"/>
    </row>
    <row r="7" spans="1:8">
      <c r="A7" s="302" t="s">
        <v>17</v>
      </c>
      <c r="B7" s="215"/>
      <c r="C7" s="295"/>
      <c r="D7" s="296">
        <f>D65</f>
        <v>119460.11582800001</v>
      </c>
      <c r="E7" s="303">
        <f>E65</f>
        <v>111982.93511399999</v>
      </c>
      <c r="F7" s="203"/>
    </row>
    <row r="8" spans="1:8">
      <c r="A8" s="302" t="s">
        <v>18</v>
      </c>
      <c r="B8" s="215"/>
      <c r="C8" s="295"/>
      <c r="D8" s="296">
        <v>93939.626999999993</v>
      </c>
      <c r="E8" s="303">
        <v>95607.17</v>
      </c>
      <c r="F8" s="203"/>
    </row>
    <row r="9" spans="1:8" s="7" customFormat="1">
      <c r="A9" s="302" t="s">
        <v>85</v>
      </c>
      <c r="B9" s="215"/>
      <c r="C9" s="295"/>
      <c r="D9" s="296">
        <v>-7547.5749999999998</v>
      </c>
      <c r="E9" s="303">
        <v>-8539.3369999999995</v>
      </c>
      <c r="F9" s="203"/>
    </row>
    <row r="10" spans="1:8" ht="15.75" thickBot="1">
      <c r="A10" s="304" t="s">
        <v>389</v>
      </c>
      <c r="B10" s="305"/>
      <c r="C10" s="306"/>
      <c r="D10" s="307">
        <v>5997.3580000000002</v>
      </c>
      <c r="E10" s="308">
        <v>6111.308</v>
      </c>
      <c r="F10" s="203"/>
    </row>
    <row r="11" spans="1:8" ht="15.75" thickBot="1">
      <c r="A11" s="671" t="s">
        <v>24</v>
      </c>
      <c r="B11" s="672"/>
      <c r="C11" s="672"/>
      <c r="D11" s="672"/>
      <c r="E11" s="673"/>
      <c r="F11" s="203"/>
    </row>
    <row r="12" spans="1:8" ht="15.75" thickBot="1">
      <c r="A12" s="669" t="s">
        <v>11</v>
      </c>
      <c r="B12" s="670"/>
      <c r="C12" s="670"/>
      <c r="D12" s="262">
        <f>D$2</f>
        <v>2018</v>
      </c>
      <c r="E12" s="309">
        <f>E$2</f>
        <v>2019</v>
      </c>
      <c r="F12" s="203"/>
    </row>
    <row r="13" spans="1:8">
      <c r="A13" s="674" t="s">
        <v>19</v>
      </c>
      <c r="B13" s="675"/>
      <c r="C13" s="675"/>
      <c r="D13" s="310"/>
      <c r="E13" s="311"/>
      <c r="F13" s="203"/>
    </row>
    <row r="14" spans="1:8">
      <c r="A14" s="302" t="s">
        <v>2</v>
      </c>
      <c r="B14" s="215"/>
      <c r="C14" s="312"/>
      <c r="D14" s="215">
        <v>16081.74</v>
      </c>
      <c r="E14" s="214">
        <v>16376.036</v>
      </c>
      <c r="F14" s="203"/>
    </row>
    <row r="15" spans="1:8">
      <c r="A15" s="302" t="s">
        <v>1</v>
      </c>
      <c r="B15" s="215"/>
      <c r="C15" s="313"/>
      <c r="D15" s="224">
        <v>8523.2150000000001</v>
      </c>
      <c r="E15" s="226">
        <v>8668.2260000000006</v>
      </c>
      <c r="F15" s="203"/>
    </row>
    <row r="16" spans="1:8">
      <c r="A16" s="302" t="s">
        <v>0</v>
      </c>
      <c r="B16" s="215"/>
      <c r="C16" s="312"/>
      <c r="D16" s="215">
        <v>26397.812999999998</v>
      </c>
      <c r="E16" s="214">
        <v>26918.760999999999</v>
      </c>
      <c r="F16" s="203"/>
    </row>
    <row r="17" spans="1:6">
      <c r="A17" s="302" t="s">
        <v>400</v>
      </c>
      <c r="B17" s="215"/>
      <c r="C17" s="312"/>
      <c r="D17" s="215">
        <v>8826.7109999999993</v>
      </c>
      <c r="E17" s="214">
        <v>9032.1610000000001</v>
      </c>
      <c r="F17" s="203"/>
    </row>
    <row r="18" spans="1:6">
      <c r="A18" s="302" t="s">
        <v>39</v>
      </c>
      <c r="B18" s="215"/>
      <c r="C18" s="312"/>
      <c r="D18" s="215">
        <v>25451.825000000001</v>
      </c>
      <c r="E18" s="214">
        <v>26090.813999999998</v>
      </c>
      <c r="F18" s="203"/>
    </row>
    <row r="19" spans="1:6">
      <c r="A19" s="302" t="s">
        <v>364</v>
      </c>
      <c r="B19" s="215"/>
      <c r="C19" s="295"/>
      <c r="D19" s="215">
        <v>180</v>
      </c>
      <c r="E19" s="214">
        <v>180</v>
      </c>
      <c r="F19" s="203"/>
    </row>
    <row r="20" spans="1:6">
      <c r="A20" s="667" t="s">
        <v>31</v>
      </c>
      <c r="B20" s="668"/>
      <c r="C20" s="668"/>
      <c r="D20" s="215"/>
      <c r="E20" s="214"/>
      <c r="F20" s="203"/>
    </row>
    <row r="21" spans="1:6">
      <c r="A21" s="302" t="s">
        <v>33</v>
      </c>
      <c r="B21" s="215"/>
      <c r="C21" s="312"/>
      <c r="D21" s="215">
        <v>3490.998</v>
      </c>
      <c r="E21" s="214">
        <v>3599.665</v>
      </c>
      <c r="F21" s="203"/>
    </row>
    <row r="22" spans="1:6">
      <c r="A22" s="302" t="s">
        <v>34</v>
      </c>
      <c r="B22" s="215"/>
      <c r="C22" s="312"/>
      <c r="D22" s="215">
        <v>4861.2659999999996</v>
      </c>
      <c r="E22" s="214">
        <v>5039.1639999999998</v>
      </c>
      <c r="F22" s="203"/>
    </row>
    <row r="23" spans="1:6">
      <c r="A23" s="302" t="s">
        <v>35</v>
      </c>
      <c r="B23" s="215"/>
      <c r="C23" s="312"/>
      <c r="D23" s="215">
        <v>2518.047</v>
      </c>
      <c r="E23" s="214">
        <v>2610.893</v>
      </c>
      <c r="F23" s="203"/>
    </row>
    <row r="24" spans="1:6">
      <c r="A24" s="302" t="s">
        <v>36</v>
      </c>
      <c r="B24" s="215"/>
      <c r="C24" s="312"/>
      <c r="D24" s="215">
        <v>4955.28</v>
      </c>
      <c r="E24" s="214">
        <v>5126.9129999999996</v>
      </c>
      <c r="F24" s="203"/>
    </row>
    <row r="25" spans="1:6">
      <c r="A25" s="302" t="s">
        <v>413</v>
      </c>
      <c r="B25" s="4"/>
      <c r="C25" s="312"/>
      <c r="D25" s="296">
        <v>1403.922</v>
      </c>
      <c r="E25" s="303">
        <v>1447.252</v>
      </c>
      <c r="F25" s="203"/>
    </row>
    <row r="26" spans="1:6">
      <c r="A26" s="667" t="s">
        <v>32</v>
      </c>
      <c r="B26" s="668"/>
      <c r="C26" s="668"/>
      <c r="D26" s="215"/>
      <c r="E26" s="214"/>
      <c r="F26" s="203"/>
    </row>
    <row r="27" spans="1:6">
      <c r="A27" s="302" t="s">
        <v>38</v>
      </c>
      <c r="B27" s="215"/>
      <c r="C27" s="312"/>
      <c r="D27" s="215">
        <v>22487.761999999999</v>
      </c>
      <c r="E27" s="214">
        <v>16862.53</v>
      </c>
      <c r="F27" s="203"/>
    </row>
    <row r="28" spans="1:6">
      <c r="A28" s="302" t="s">
        <v>40</v>
      </c>
      <c r="B28" s="215"/>
      <c r="C28" s="312"/>
      <c r="D28" s="215">
        <v>2981.87</v>
      </c>
      <c r="E28" s="214">
        <v>3010.3130000000001</v>
      </c>
      <c r="F28" s="203"/>
    </row>
    <row r="29" spans="1:6">
      <c r="A29" s="302" t="s">
        <v>390</v>
      </c>
      <c r="B29" s="215"/>
      <c r="C29" s="312"/>
      <c r="D29" s="215">
        <v>12463.754999999999</v>
      </c>
      <c r="E29" s="214">
        <v>12657.17</v>
      </c>
      <c r="F29" s="203"/>
    </row>
    <row r="30" spans="1:6">
      <c r="A30" s="302" t="s">
        <v>41</v>
      </c>
      <c r="B30" s="215"/>
      <c r="C30" s="312"/>
      <c r="D30" s="215">
        <v>4916.2290000000003</v>
      </c>
      <c r="E30" s="214">
        <v>5024.8180000000002</v>
      </c>
      <c r="F30" s="203"/>
    </row>
    <row r="31" spans="1:6">
      <c r="A31" s="302" t="s">
        <v>42</v>
      </c>
      <c r="B31" s="215"/>
      <c r="C31" s="312"/>
      <c r="D31" s="215">
        <v>643.89700000000005</v>
      </c>
      <c r="E31" s="214">
        <v>658.024</v>
      </c>
      <c r="F31" s="203"/>
    </row>
    <row r="32" spans="1:6">
      <c r="A32" s="302" t="s">
        <v>43</v>
      </c>
      <c r="B32" s="215"/>
      <c r="C32" s="312"/>
      <c r="D32" s="215">
        <v>1715.77</v>
      </c>
      <c r="E32" s="214">
        <v>1791.9870000000001</v>
      </c>
      <c r="F32" s="203"/>
    </row>
    <row r="33" spans="1:6">
      <c r="A33" s="314"/>
      <c r="B33" s="4"/>
      <c r="C33" s="4"/>
      <c r="D33" s="114"/>
      <c r="E33" s="211"/>
      <c r="F33" s="203"/>
    </row>
    <row r="34" spans="1:6">
      <c r="A34" s="667" t="s">
        <v>21</v>
      </c>
      <c r="B34" s="668"/>
      <c r="C34" s="668"/>
      <c r="D34" s="215"/>
      <c r="E34" s="214"/>
      <c r="F34" s="203"/>
    </row>
    <row r="35" spans="1:6">
      <c r="A35" s="302" t="s">
        <v>3</v>
      </c>
      <c r="B35" s="215"/>
      <c r="C35" s="312"/>
      <c r="D35" s="215">
        <v>1498.202</v>
      </c>
      <c r="E35" s="214">
        <v>1561.07</v>
      </c>
      <c r="F35" s="203"/>
    </row>
    <row r="36" spans="1:6">
      <c r="A36" s="302" t="s">
        <v>4</v>
      </c>
      <c r="B36" s="215"/>
      <c r="C36" s="312"/>
      <c r="D36" s="215">
        <v>425.84300000000002</v>
      </c>
      <c r="E36" s="214">
        <v>442.15</v>
      </c>
      <c r="F36" s="203"/>
    </row>
    <row r="37" spans="1:6">
      <c r="A37" s="302" t="s">
        <v>5</v>
      </c>
      <c r="B37" s="215"/>
      <c r="C37" s="312"/>
      <c r="D37" s="215">
        <v>4764.9350000000004</v>
      </c>
      <c r="E37" s="214">
        <v>4957.4970000000003</v>
      </c>
      <c r="F37" s="203"/>
    </row>
    <row r="38" spans="1:6">
      <c r="A38" s="302" t="s">
        <v>6</v>
      </c>
      <c r="B38" s="215"/>
      <c r="C38" s="312"/>
      <c r="D38" s="215">
        <v>4099.1459999999997</v>
      </c>
      <c r="E38" s="214">
        <v>4238.9409999999998</v>
      </c>
      <c r="F38" s="203"/>
    </row>
    <row r="39" spans="1:6">
      <c r="A39" s="302" t="s">
        <v>7</v>
      </c>
      <c r="B39" s="215"/>
      <c r="C39" s="312"/>
      <c r="D39" s="215">
        <v>541.77499999999998</v>
      </c>
      <c r="E39" s="214">
        <v>557.93899999999996</v>
      </c>
      <c r="F39" s="203"/>
    </row>
    <row r="40" spans="1:6">
      <c r="A40" s="667" t="s">
        <v>415</v>
      </c>
      <c r="B40" s="668"/>
      <c r="C40" s="668"/>
      <c r="D40" s="114"/>
      <c r="E40" s="211"/>
      <c r="F40" s="203"/>
    </row>
    <row r="41" spans="1:6">
      <c r="A41" s="302" t="s">
        <v>386</v>
      </c>
      <c r="B41" s="4"/>
      <c r="C41" s="312"/>
      <c r="D41" s="215">
        <v>1300</v>
      </c>
      <c r="E41" s="214">
        <v>1300</v>
      </c>
      <c r="F41" s="203"/>
    </row>
    <row r="42" spans="1:6">
      <c r="A42" s="302" t="s">
        <v>387</v>
      </c>
      <c r="B42" s="199"/>
      <c r="C42" s="312"/>
      <c r="D42" s="215">
        <v>30</v>
      </c>
      <c r="E42" s="214">
        <v>30</v>
      </c>
      <c r="F42" s="203"/>
    </row>
    <row r="43" spans="1:6">
      <c r="A43" s="302" t="s">
        <v>388</v>
      </c>
      <c r="B43" s="199"/>
      <c r="C43" s="312"/>
      <c r="D43" s="215">
        <v>6670</v>
      </c>
      <c r="E43" s="214">
        <v>10005</v>
      </c>
      <c r="F43" s="203"/>
    </row>
    <row r="44" spans="1:6" ht="15.75" thickBot="1">
      <c r="A44" s="304" t="s">
        <v>401</v>
      </c>
      <c r="B44" s="315"/>
      <c r="C44" s="316"/>
      <c r="D44" s="305">
        <v>1100</v>
      </c>
      <c r="E44" s="317">
        <v>1100</v>
      </c>
      <c r="F44" s="203"/>
    </row>
    <row r="45" spans="1:6" ht="15.75" thickBot="1">
      <c r="A45" s="669" t="s">
        <v>22</v>
      </c>
      <c r="B45" s="670"/>
      <c r="C45" s="670"/>
      <c r="D45" s="262">
        <f>D$2</f>
        <v>2018</v>
      </c>
      <c r="E45" s="309">
        <f>E$2</f>
        <v>2019</v>
      </c>
      <c r="F45" s="203"/>
    </row>
    <row r="46" spans="1:6">
      <c r="A46" s="297" t="s">
        <v>25</v>
      </c>
      <c r="B46" s="318"/>
      <c r="C46" s="319"/>
      <c r="D46" s="298">
        <v>95479.665827999997</v>
      </c>
      <c r="E46" s="320">
        <v>88569.485113999996</v>
      </c>
      <c r="F46" s="203"/>
    </row>
    <row r="47" spans="1:6">
      <c r="A47" s="302" t="s">
        <v>26</v>
      </c>
      <c r="B47" s="215"/>
      <c r="C47" s="215"/>
      <c r="D47" s="215">
        <f t="shared" ref="D47:E47" si="1">SUM(D48:D50)</f>
        <v>10728.867</v>
      </c>
      <c r="E47" s="214">
        <f t="shared" si="1"/>
        <v>10728.867</v>
      </c>
      <c r="F47" s="203"/>
    </row>
    <row r="48" spans="1:6">
      <c r="A48" s="321" t="s">
        <v>190</v>
      </c>
      <c r="B48" s="322"/>
      <c r="C48" s="312"/>
      <c r="D48" s="215">
        <v>8867</v>
      </c>
      <c r="E48" s="214">
        <v>8867</v>
      </c>
      <c r="F48" s="203"/>
    </row>
    <row r="49" spans="1:6">
      <c r="A49" s="321" t="s">
        <v>189</v>
      </c>
      <c r="B49" s="322"/>
      <c r="C49" s="312"/>
      <c r="D49" s="215">
        <v>589.23199999999997</v>
      </c>
      <c r="E49" s="214">
        <v>589.23199999999997</v>
      </c>
      <c r="F49" s="203"/>
    </row>
    <row r="50" spans="1:6">
      <c r="A50" s="321" t="s">
        <v>416</v>
      </c>
      <c r="B50" s="322"/>
      <c r="C50" s="312"/>
      <c r="D50" s="215">
        <v>1272.635</v>
      </c>
      <c r="E50" s="214">
        <v>1272.635</v>
      </c>
      <c r="F50" s="203"/>
    </row>
    <row r="51" spans="1:6">
      <c r="A51" s="302" t="s">
        <v>246</v>
      </c>
      <c r="B51" s="215"/>
      <c r="C51" s="215"/>
      <c r="D51" s="215">
        <f t="shared" ref="D51:E51" si="2">SUM(D52:D53)</f>
        <v>2221.009</v>
      </c>
      <c r="E51" s="214">
        <f t="shared" si="2"/>
        <v>2221.009</v>
      </c>
      <c r="F51" s="203"/>
    </row>
    <row r="52" spans="1:6" s="189" customFormat="1">
      <c r="A52" s="321" t="s">
        <v>414</v>
      </c>
      <c r="B52" s="322"/>
      <c r="C52" s="312"/>
      <c r="D52" s="215">
        <v>225</v>
      </c>
      <c r="E52" s="214">
        <v>225</v>
      </c>
      <c r="F52" s="203"/>
    </row>
    <row r="53" spans="1:6" s="189" customFormat="1">
      <c r="A53" s="302" t="s">
        <v>385</v>
      </c>
      <c r="B53" s="322"/>
      <c r="C53" s="312"/>
      <c r="D53" s="323">
        <v>1996.009</v>
      </c>
      <c r="E53" s="324">
        <v>1996.009</v>
      </c>
      <c r="F53" s="203"/>
    </row>
    <row r="54" spans="1:6">
      <c r="A54" s="321" t="s">
        <v>247</v>
      </c>
      <c r="B54" s="199"/>
      <c r="C54" s="199"/>
      <c r="D54" s="215">
        <f t="shared" ref="D54:E54" si="3">SUM(D46,D47,D51)</f>
        <v>108429.541828</v>
      </c>
      <c r="E54" s="214">
        <f t="shared" si="3"/>
        <v>101519.361114</v>
      </c>
      <c r="F54" s="203"/>
    </row>
    <row r="55" spans="1:6">
      <c r="A55" s="321"/>
      <c r="B55" s="199"/>
      <c r="C55" s="199"/>
      <c r="D55" s="215"/>
      <c r="E55" s="214"/>
      <c r="F55" s="203"/>
    </row>
    <row r="56" spans="1:6">
      <c r="A56" s="302" t="s">
        <v>27</v>
      </c>
      <c r="B56" s="322"/>
      <c r="C56" s="312"/>
      <c r="D56" s="215">
        <v>96.72</v>
      </c>
      <c r="E56" s="214">
        <v>96.72</v>
      </c>
      <c r="F56" s="203"/>
    </row>
    <row r="57" spans="1:6">
      <c r="A57" s="302" t="s">
        <v>28</v>
      </c>
      <c r="B57" s="322"/>
      <c r="C57" s="312"/>
      <c r="D57" s="215">
        <v>5746.0609999999997</v>
      </c>
      <c r="E57" s="214">
        <v>5179.0609999999997</v>
      </c>
      <c r="F57" s="203"/>
    </row>
    <row r="58" spans="1:6">
      <c r="A58" s="302" t="s">
        <v>29</v>
      </c>
      <c r="B58" s="322"/>
      <c r="C58" s="312"/>
      <c r="D58" s="215">
        <v>0</v>
      </c>
      <c r="E58" s="214">
        <v>0</v>
      </c>
      <c r="F58" s="203"/>
    </row>
    <row r="59" spans="1:6">
      <c r="A59" s="302" t="s">
        <v>392</v>
      </c>
      <c r="B59" s="322"/>
      <c r="C59" s="312"/>
      <c r="D59" s="323">
        <v>5187.7929999999997</v>
      </c>
      <c r="E59" s="324">
        <v>5187.7929999999997</v>
      </c>
      <c r="F59" s="203"/>
    </row>
    <row r="60" spans="1:6" s="7" customFormat="1" ht="15.75" thickBot="1">
      <c r="A60" s="325" t="s">
        <v>248</v>
      </c>
      <c r="B60" s="199"/>
      <c r="C60" s="199"/>
      <c r="D60" s="329">
        <f t="shared" ref="D60:E60" si="4">SUM(D56:D59)</f>
        <v>11030.574000000001</v>
      </c>
      <c r="E60" s="330">
        <f t="shared" si="4"/>
        <v>10463.574000000001</v>
      </c>
      <c r="F60" s="203"/>
    </row>
    <row r="61" spans="1:6" s="7" customFormat="1" ht="15.75" thickTop="1">
      <c r="A61" s="302" t="s">
        <v>249</v>
      </c>
      <c r="B61" s="199"/>
      <c r="C61" s="199"/>
      <c r="D61" s="215">
        <f t="shared" ref="D61:E61" si="5">SUM(D54,D60)</f>
        <v>119460.11582800001</v>
      </c>
      <c r="E61" s="214">
        <f t="shared" si="5"/>
        <v>111982.93511399999</v>
      </c>
      <c r="F61" s="203"/>
    </row>
    <row r="62" spans="1:6" s="7" customFormat="1">
      <c r="A62" s="302"/>
      <c r="B62" s="199"/>
      <c r="C62" s="199"/>
      <c r="D62" s="215"/>
      <c r="E62" s="214"/>
      <c r="F62" s="203"/>
    </row>
    <row r="63" spans="1:6">
      <c r="A63" s="326" t="s">
        <v>187</v>
      </c>
      <c r="B63" s="327"/>
      <c r="C63" s="327"/>
      <c r="D63" s="224">
        <f t="shared" ref="D63:E63" si="6">D60</f>
        <v>11030.574000000001</v>
      </c>
      <c r="E63" s="226">
        <f t="shared" si="6"/>
        <v>10463.574000000001</v>
      </c>
      <c r="F63" s="203"/>
    </row>
    <row r="64" spans="1:6">
      <c r="A64" s="326" t="s">
        <v>188</v>
      </c>
      <c r="B64" s="327"/>
      <c r="C64" s="327"/>
      <c r="D64" s="224">
        <f t="shared" ref="D64:E64" si="7">D54</f>
        <v>108429.541828</v>
      </c>
      <c r="E64" s="226">
        <f t="shared" si="7"/>
        <v>101519.361114</v>
      </c>
      <c r="F64" s="203"/>
    </row>
    <row r="65" spans="1:6" s="7" customFormat="1" ht="15.75" thickBot="1">
      <c r="A65" s="328" t="s">
        <v>180</v>
      </c>
      <c r="B65" s="316"/>
      <c r="C65" s="316"/>
      <c r="D65" s="259">
        <f>SUM(D63:D64)</f>
        <v>119460.11582800001</v>
      </c>
      <c r="E65" s="261">
        <f t="shared" ref="E65" si="8">SUM(E63:E64)</f>
        <v>111982.93511399999</v>
      </c>
      <c r="F65" s="203"/>
    </row>
    <row r="66" spans="1:6">
      <c r="A66" s="297" t="s">
        <v>391</v>
      </c>
      <c r="B66" s="331"/>
      <c r="C66" s="331"/>
      <c r="D66" s="332">
        <f>D56-D67</f>
        <v>96.72</v>
      </c>
      <c r="E66" s="333">
        <f t="shared" ref="E66" si="9">E56-E67</f>
        <v>96.72</v>
      </c>
      <c r="F66" s="203"/>
    </row>
    <row r="67" spans="1:6" ht="15.75" thickBot="1">
      <c r="A67" s="335" t="s">
        <v>402</v>
      </c>
      <c r="B67" s="315"/>
      <c r="C67" s="334"/>
      <c r="D67" s="305">
        <v>0</v>
      </c>
      <c r="E67" s="317">
        <v>0</v>
      </c>
      <c r="F67" s="203"/>
    </row>
    <row r="68" spans="1:6">
      <c r="A68" s="197"/>
      <c r="B68" s="197"/>
      <c r="C68" s="197"/>
      <c r="D68" s="292"/>
      <c r="E68" s="197"/>
    </row>
  </sheetData>
  <dataConsolidate/>
  <customSheetViews>
    <customSheetView guid="{2226E858-00AE-4A92-8CF6-5B54D2FA62D4}" scale="90" showPageBreaks="1" fitToPage="1" printArea="1" topLeftCell="A49">
      <selection activeCell="H57" sqref="H57"/>
      <pageMargins left="0.25" right="0.25" top="0.75" bottom="0.75" header="0.3" footer="0.3"/>
      <pageSetup scale="41" orientation="portrait" r:id="rId1"/>
    </customSheetView>
  </customSheetViews>
  <mergeCells count="10">
    <mergeCell ref="A1:E1"/>
    <mergeCell ref="A12:C12"/>
    <mergeCell ref="A13:C13"/>
    <mergeCell ref="A20:C20"/>
    <mergeCell ref="A26:C26"/>
    <mergeCell ref="A34:C34"/>
    <mergeCell ref="A40:C40"/>
    <mergeCell ref="A45:C45"/>
    <mergeCell ref="A11:E11"/>
    <mergeCell ref="A2:C2"/>
  </mergeCells>
  <dataValidations count="3">
    <dataValidation type="whole" operator="equal" allowBlank="1" showInputMessage="1" showErrorMessage="1" sqref="B66">
      <formula1>B7</formula1>
    </dataValidation>
    <dataValidation type="whole" allowBlank="1" showInputMessage="1" showErrorMessage="1" errorTitle="Input Values" error="Input data in thousands" sqref="B14:B18">
      <formula1>0</formula1>
      <formula2>1000000</formula2>
    </dataValidation>
    <dataValidation type="whole" operator="lessThan" allowBlank="1" showInputMessage="1" showErrorMessage="1" errorTitle="Input Data" error="Input data in thousands." sqref="B3:B9">
      <formula1>1000000</formula1>
    </dataValidation>
  </dataValidations>
  <pageMargins left="0.25" right="0.25" top="0.75" bottom="0.75" header="0.3" footer="0.3"/>
  <pageSetup scale="4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D70"/>
  <sheetViews>
    <sheetView workbookViewId="0">
      <selection sqref="A1:D1"/>
    </sheetView>
  </sheetViews>
  <sheetFormatPr defaultRowHeight="15"/>
  <cols>
    <col min="1" max="1" width="64.42578125" customWidth="1"/>
    <col min="2" max="2" width="13.5703125" customWidth="1"/>
    <col min="3" max="4" width="15.28515625" customWidth="1"/>
    <col min="5" max="5" width="13.85546875" bestFit="1" customWidth="1"/>
  </cols>
  <sheetData>
    <row r="1" spans="1:4" ht="18.75" thickBot="1">
      <c r="A1" s="678" t="s">
        <v>417</v>
      </c>
      <c r="B1" s="679"/>
      <c r="C1" s="679"/>
      <c r="D1" s="680"/>
    </row>
    <row r="2" spans="1:4" s="203" customFormat="1" ht="15.75" thickBot="1">
      <c r="A2" s="340">
        <v>0.65</v>
      </c>
      <c r="B2" s="676" t="s">
        <v>418</v>
      </c>
      <c r="C2" s="676"/>
      <c r="D2" s="677"/>
    </row>
    <row r="3" spans="1:4" s="203" customFormat="1" ht="15" customHeight="1" thickBot="1">
      <c r="A3" s="341">
        <v>15000</v>
      </c>
      <c r="B3" s="676" t="s">
        <v>419</v>
      </c>
      <c r="C3" s="676"/>
      <c r="D3" s="677"/>
    </row>
    <row r="4" spans="1:4" s="203" customFormat="1" ht="15.75" thickBot="1">
      <c r="A4" s="342" t="s">
        <v>244</v>
      </c>
      <c r="B4" s="343">
        <v>2017</v>
      </c>
      <c r="C4" s="343">
        <v>2018</v>
      </c>
      <c r="D4" s="344">
        <f t="shared" ref="D4" si="0">C4+1</f>
        <v>2019</v>
      </c>
    </row>
    <row r="5" spans="1:4" s="203" customFormat="1" ht="15" customHeight="1">
      <c r="A5" s="345" t="s">
        <v>240</v>
      </c>
      <c r="B5" s="298">
        <v>40000</v>
      </c>
      <c r="C5" s="298">
        <v>50532.491999999998</v>
      </c>
      <c r="D5" s="320">
        <v>44000</v>
      </c>
    </row>
    <row r="6" spans="1:4" s="203" customFormat="1">
      <c r="A6" s="346" t="s">
        <v>241</v>
      </c>
      <c r="B6" s="215">
        <v>38400</v>
      </c>
      <c r="C6" s="215">
        <v>82368.03</v>
      </c>
      <c r="D6" s="214">
        <v>139179.55799999999</v>
      </c>
    </row>
    <row r="7" spans="1:4" s="203" customFormat="1">
      <c r="A7" s="346" t="s">
        <v>242</v>
      </c>
      <c r="B7" s="215">
        <v>155600</v>
      </c>
      <c r="C7" s="215">
        <v>153631.97</v>
      </c>
      <c r="D7" s="214">
        <v>118820.442</v>
      </c>
    </row>
    <row r="8" spans="1:4" s="203" customFormat="1">
      <c r="A8" s="346" t="s">
        <v>354</v>
      </c>
      <c r="B8" s="215">
        <v>8177</v>
      </c>
      <c r="C8" s="215">
        <v>5000</v>
      </c>
      <c r="D8" s="214">
        <v>5000</v>
      </c>
    </row>
    <row r="9" spans="1:4" s="203" customFormat="1">
      <c r="A9" s="347" t="s">
        <v>395</v>
      </c>
      <c r="B9" s="215"/>
      <c r="C9" s="215"/>
      <c r="D9" s="214"/>
    </row>
    <row r="10" spans="1:4" s="203" customFormat="1">
      <c r="A10" s="346" t="s">
        <v>366</v>
      </c>
      <c r="B10" s="215">
        <v>8666</v>
      </c>
      <c r="C10" s="215">
        <v>8046</v>
      </c>
      <c r="D10" s="214">
        <v>7982</v>
      </c>
    </row>
    <row r="11" spans="1:4" s="203" customFormat="1">
      <c r="A11" s="348" t="s">
        <v>396</v>
      </c>
      <c r="B11" s="323">
        <v>170.69782499999999</v>
      </c>
      <c r="C11" s="323">
        <v>333.415325</v>
      </c>
      <c r="D11" s="324">
        <v>325.435</v>
      </c>
    </row>
    <row r="12" spans="1:4" s="203" customFormat="1" ht="15.75" thickBot="1">
      <c r="A12" s="349" t="s">
        <v>243</v>
      </c>
      <c r="B12" s="305">
        <f>SUM(B5:B11)</f>
        <v>251013.69782500001</v>
      </c>
      <c r="C12" s="305">
        <f t="shared" ref="C12:D12" si="1">SUM(C5:C11)</f>
        <v>299911.90732499998</v>
      </c>
      <c r="D12" s="317">
        <f t="shared" si="1"/>
        <v>315307.435</v>
      </c>
    </row>
    <row r="13" spans="1:4" s="203" customFormat="1" ht="15.75" thickBot="1">
      <c r="A13" s="339" t="s">
        <v>54</v>
      </c>
      <c r="B13" s="262">
        <v>2017</v>
      </c>
      <c r="C13" s="262">
        <v>2018</v>
      </c>
      <c r="D13" s="309">
        <f t="shared" ref="D13" si="2">C13+1</f>
        <v>2019</v>
      </c>
    </row>
    <row r="14" spans="1:4" s="203" customFormat="1">
      <c r="A14" s="345" t="s">
        <v>46</v>
      </c>
      <c r="B14" s="298">
        <v>39504.976000000002</v>
      </c>
      <c r="C14" s="298">
        <v>2799.379189321146</v>
      </c>
      <c r="D14" s="320">
        <v>39333.994742648574</v>
      </c>
    </row>
    <row r="15" spans="1:4" s="203" customFormat="1">
      <c r="A15" s="346" t="s">
        <v>47</v>
      </c>
      <c r="B15" s="215">
        <v>64269.783000000003</v>
      </c>
      <c r="C15" s="215">
        <v>76276.017617571124</v>
      </c>
      <c r="D15" s="214">
        <v>47111.372829028922</v>
      </c>
    </row>
    <row r="16" spans="1:4" s="203" customFormat="1">
      <c r="A16" s="346" t="s">
        <v>48</v>
      </c>
      <c r="B16" s="215">
        <v>289494.31199999998</v>
      </c>
      <c r="C16" s="215">
        <v>303011.36805692839</v>
      </c>
      <c r="D16" s="214">
        <v>316954.8886023059</v>
      </c>
    </row>
    <row r="17" spans="1:4" s="203" customFormat="1">
      <c r="A17" s="346" t="s">
        <v>49</v>
      </c>
      <c r="B17" s="215">
        <v>70241.035000000003</v>
      </c>
      <c r="C17" s="215">
        <v>81169.909042101674</v>
      </c>
      <c r="D17" s="214">
        <v>75491.33626131159</v>
      </c>
    </row>
    <row r="18" spans="1:4" s="203" customFormat="1">
      <c r="A18" s="346" t="s">
        <v>50</v>
      </c>
      <c r="B18" s="215">
        <v>7190.0360000000001</v>
      </c>
      <c r="C18" s="215">
        <v>7288.5440940776862</v>
      </c>
      <c r="D18" s="214">
        <v>7336.4125647050332</v>
      </c>
    </row>
    <row r="19" spans="1:4" s="203" customFormat="1">
      <c r="A19" s="350" t="s">
        <v>51</v>
      </c>
      <c r="B19" s="215">
        <v>6083.4210000000003</v>
      </c>
      <c r="C19" s="215">
        <v>16000</v>
      </c>
      <c r="D19" s="214">
        <v>15500</v>
      </c>
    </row>
    <row r="20" spans="1:4" s="203" customFormat="1">
      <c r="A20" s="346" t="s">
        <v>367</v>
      </c>
      <c r="B20" s="215">
        <f>HLOOKUP(B$13,AFUDC!$D$4:$F$29,26,FALSE)-B21</f>
        <v>24324.135929157499</v>
      </c>
      <c r="C20" s="215">
        <f>HLOOKUP(C$13,AFUDC!$D$4:$F$29,26,FALSE)-C21</f>
        <v>24486.816422516255</v>
      </c>
      <c r="D20" s="214">
        <f>HLOOKUP(D$13,AFUDC!$D$4:$F$29,26,FALSE)-D21</f>
        <v>24498.151651132062</v>
      </c>
    </row>
    <row r="21" spans="1:4" s="203" customFormat="1">
      <c r="A21" s="348" t="s">
        <v>368</v>
      </c>
      <c r="B21" s="323">
        <f>HLOOKUP(B$13,AFUDC!$D$4:$F$20,16,FALSE)</f>
        <v>170.85184999999998</v>
      </c>
      <c r="C21" s="323">
        <f>HLOOKUP(C$13,AFUDC!$D$4:$F$20,16,FALSE)</f>
        <v>246.00842500000002</v>
      </c>
      <c r="D21" s="324">
        <f>HLOOKUP(D$13,AFUDC!$D$4:$F$20,16,FALSE)</f>
        <v>321.16500000000002</v>
      </c>
    </row>
    <row r="22" spans="1:4" s="203" customFormat="1" ht="15.75" thickBot="1">
      <c r="A22" s="349" t="s">
        <v>55</v>
      </c>
      <c r="B22" s="305">
        <f>SUM(B14:B21)</f>
        <v>501278.55077915749</v>
      </c>
      <c r="C22" s="305">
        <f>SUM(C14:C21)</f>
        <v>511278.04284751625</v>
      </c>
      <c r="D22" s="317">
        <f t="shared" ref="D22" si="3">SUM(D14:D21)</f>
        <v>526547.32165113208</v>
      </c>
    </row>
    <row r="23" spans="1:4" s="203" customFormat="1" ht="15.75" thickBot="1">
      <c r="A23" s="339" t="s">
        <v>53</v>
      </c>
      <c r="B23" s="262">
        <v>2017</v>
      </c>
      <c r="C23" s="262">
        <v>2018</v>
      </c>
      <c r="D23" s="309">
        <f t="shared" ref="D23" si="4">C23+1</f>
        <v>2019</v>
      </c>
    </row>
    <row r="24" spans="1:4" s="203" customFormat="1">
      <c r="A24" s="351" t="s">
        <v>52</v>
      </c>
      <c r="B24" s="298">
        <v>0</v>
      </c>
      <c r="C24" s="298">
        <v>1200</v>
      </c>
      <c r="D24" s="320">
        <v>1200</v>
      </c>
    </row>
    <row r="25" spans="1:4" s="203" customFormat="1">
      <c r="A25" s="225" t="s">
        <v>393</v>
      </c>
      <c r="B25" s="215">
        <v>5269</v>
      </c>
      <c r="C25" s="215">
        <v>10000</v>
      </c>
      <c r="D25" s="214">
        <v>10000</v>
      </c>
    </row>
    <row r="26" spans="1:4" s="203" customFormat="1">
      <c r="A26" s="225" t="s">
        <v>398</v>
      </c>
      <c r="B26" s="215">
        <v>3349</v>
      </c>
      <c r="C26" s="215">
        <v>5000</v>
      </c>
      <c r="D26" s="214">
        <v>5000</v>
      </c>
    </row>
    <row r="27" spans="1:4" s="203" customFormat="1">
      <c r="A27" s="225" t="s">
        <v>369</v>
      </c>
      <c r="B27" s="323"/>
      <c r="C27" s="323"/>
      <c r="D27" s="324"/>
    </row>
    <row r="28" spans="1:4" s="203" customFormat="1" ht="15.75" thickBot="1">
      <c r="A28" s="349" t="s">
        <v>56</v>
      </c>
      <c r="B28" s="305">
        <f>SUM(B24:B26)</f>
        <v>8618</v>
      </c>
      <c r="C28" s="305">
        <f t="shared" ref="C28:D28" si="5">SUM(C24:C26)</f>
        <v>16200</v>
      </c>
      <c r="D28" s="317">
        <f t="shared" si="5"/>
        <v>16200</v>
      </c>
    </row>
    <row r="29" spans="1:4" s="203" customFormat="1" ht="15.75" thickBot="1">
      <c r="A29" s="393" t="s">
        <v>420</v>
      </c>
      <c r="B29" s="394"/>
      <c r="C29" s="394"/>
      <c r="D29" s="395"/>
    </row>
    <row r="30" spans="1:4" s="203" customFormat="1" ht="15.75" thickBot="1">
      <c r="A30" s="352" t="s">
        <v>11</v>
      </c>
      <c r="B30" s="353">
        <v>2017</v>
      </c>
      <c r="C30" s="353">
        <v>2018</v>
      </c>
      <c r="D30" s="354">
        <f t="shared" ref="D30" si="6">C30+1</f>
        <v>2019</v>
      </c>
    </row>
    <row r="31" spans="1:4" s="203" customFormat="1" ht="15.75" thickBot="1">
      <c r="A31" s="339" t="s">
        <v>245</v>
      </c>
      <c r="B31" s="262"/>
      <c r="C31" s="262"/>
      <c r="D31" s="309"/>
    </row>
    <row r="32" spans="1:4" s="203" customFormat="1" ht="15" customHeight="1">
      <c r="A32" s="357" t="s">
        <v>372</v>
      </c>
      <c r="B32" s="298">
        <f>B28*$A$2</f>
        <v>5601.7</v>
      </c>
      <c r="C32" s="298">
        <f>C28*$A$2</f>
        <v>10530</v>
      </c>
      <c r="D32" s="320">
        <f>D28*$A$2</f>
        <v>10530</v>
      </c>
    </row>
    <row r="33" spans="1:4" s="203" customFormat="1">
      <c r="A33" s="358" t="s">
        <v>373</v>
      </c>
      <c r="B33" s="215">
        <f>B21</f>
        <v>170.85184999999998</v>
      </c>
      <c r="C33" s="215">
        <f>C21</f>
        <v>246.00842500000002</v>
      </c>
      <c r="D33" s="214">
        <f>D21</f>
        <v>321.16500000000002</v>
      </c>
    </row>
    <row r="34" spans="1:4" s="203" customFormat="1">
      <c r="A34" s="210" t="s">
        <v>374</v>
      </c>
      <c r="B34" s="215">
        <f>SUM(B32:B33)</f>
        <v>5772.5518499999998</v>
      </c>
      <c r="C34" s="215">
        <f>SUM(C32:C33)</f>
        <v>10776.008425</v>
      </c>
      <c r="D34" s="214">
        <f t="shared" ref="D34" si="7">SUM(D32:D33)</f>
        <v>10851.165000000001</v>
      </c>
    </row>
    <row r="35" spans="1:4" s="203" customFormat="1">
      <c r="A35" s="210" t="s">
        <v>360</v>
      </c>
      <c r="B35" s="215">
        <f>B18</f>
        <v>7190.0360000000001</v>
      </c>
      <c r="C35" s="215">
        <f>C18</f>
        <v>7288.5440940776862</v>
      </c>
      <c r="D35" s="214">
        <f>D18</f>
        <v>7336.4125647050332</v>
      </c>
    </row>
    <row r="36" spans="1:4" s="203" customFormat="1">
      <c r="A36" s="350" t="s">
        <v>356</v>
      </c>
      <c r="B36" s="215">
        <f>SUM(B14:B17,B20)</f>
        <v>487834.24192915752</v>
      </c>
      <c r="C36" s="215">
        <f>SUM(C14:C17,C20)</f>
        <v>487743.49032843858</v>
      </c>
      <c r="D36" s="214">
        <f>SUM(D14:D17,D20)</f>
        <v>503389.74408642703</v>
      </c>
    </row>
    <row r="37" spans="1:4" s="203" customFormat="1">
      <c r="A37" s="359" t="s">
        <v>357</v>
      </c>
      <c r="B37" s="312">
        <f>-A3</f>
        <v>-15000</v>
      </c>
      <c r="C37" s="312">
        <f>B37</f>
        <v>-15000</v>
      </c>
      <c r="D37" s="360">
        <f t="shared" ref="D37" si="8">C37</f>
        <v>-15000</v>
      </c>
    </row>
    <row r="38" spans="1:4" s="203" customFormat="1">
      <c r="A38" s="350" t="s">
        <v>365</v>
      </c>
      <c r="B38" s="215">
        <f>SUM(B36:B37)</f>
        <v>472834.24192915752</v>
      </c>
      <c r="C38" s="215">
        <f t="shared" ref="C38:D38" si="9">SUM(C36:C37)</f>
        <v>472743.49032843858</v>
      </c>
      <c r="D38" s="214">
        <f t="shared" si="9"/>
        <v>488389.74408642703</v>
      </c>
    </row>
    <row r="39" spans="1:4" s="203" customFormat="1">
      <c r="A39" s="361" t="s">
        <v>358</v>
      </c>
      <c r="B39" s="362">
        <f>B38+B35+B34</f>
        <v>485796.82977915753</v>
      </c>
      <c r="C39" s="362">
        <f>C38+C35+C34</f>
        <v>490808.04284751625</v>
      </c>
      <c r="D39" s="363">
        <f t="shared" ref="D39" si="10">D38+D35+D34</f>
        <v>506577.32165113202</v>
      </c>
    </row>
    <row r="40" spans="1:4" s="203" customFormat="1">
      <c r="A40" s="364" t="str">
        <f>A19</f>
        <v xml:space="preserve">  PFIA</v>
      </c>
      <c r="B40" s="215">
        <f>B19</f>
        <v>6083.4210000000003</v>
      </c>
      <c r="C40" s="215">
        <f>C19</f>
        <v>16000</v>
      </c>
      <c r="D40" s="214">
        <f>D19</f>
        <v>15500</v>
      </c>
    </row>
    <row r="41" spans="1:4" s="203" customFormat="1">
      <c r="A41" s="358" t="str">
        <f>A37</f>
        <v>RESERVE FINANCING (Reduces Borrowings)</v>
      </c>
      <c r="B41" s="215">
        <f>-B37</f>
        <v>15000</v>
      </c>
      <c r="C41" s="215">
        <f t="shared" ref="C41:D41" si="11">-C37</f>
        <v>15000</v>
      </c>
      <c r="D41" s="214">
        <f t="shared" si="11"/>
        <v>15000</v>
      </c>
    </row>
    <row r="42" spans="1:4" s="203" customFormat="1">
      <c r="A42" s="210" t="s">
        <v>359</v>
      </c>
      <c r="B42" s="215">
        <f>B41+B40+B39</f>
        <v>506880.2507791575</v>
      </c>
      <c r="C42" s="215">
        <f t="shared" ref="C42:D42" si="12">C41+C40+C39</f>
        <v>521808.04284751625</v>
      </c>
      <c r="D42" s="214">
        <f t="shared" si="12"/>
        <v>537077.32165113208</v>
      </c>
    </row>
    <row r="43" spans="1:4" s="203" customFormat="1" ht="15.75" thickBot="1">
      <c r="A43" s="365"/>
      <c r="B43" s="366"/>
      <c r="C43" s="366"/>
      <c r="D43" s="367"/>
    </row>
    <row r="44" spans="1:4" s="203" customFormat="1" ht="15.75" thickBot="1">
      <c r="A44" s="339" t="s">
        <v>244</v>
      </c>
      <c r="B44" s="355"/>
      <c r="C44" s="355"/>
      <c r="D44" s="356"/>
    </row>
    <row r="45" spans="1:4" s="203" customFormat="1">
      <c r="A45" s="368" t="s">
        <v>362</v>
      </c>
      <c r="B45" s="298">
        <f>B5</f>
        <v>40000</v>
      </c>
      <c r="C45" s="298">
        <f>C5</f>
        <v>50532.491999999998</v>
      </c>
      <c r="D45" s="320">
        <f>D5</f>
        <v>44000</v>
      </c>
    </row>
    <row r="46" spans="1:4" s="203" customFormat="1">
      <c r="A46" s="369" t="s">
        <v>397</v>
      </c>
      <c r="B46" s="312"/>
      <c r="C46" s="312"/>
      <c r="D46" s="360"/>
    </row>
    <row r="47" spans="1:4" s="203" customFormat="1">
      <c r="A47" s="210" t="s">
        <v>376</v>
      </c>
      <c r="B47" s="215">
        <f>B6+(B10*(B6/SUM(B6:B7)))</f>
        <v>40115.331958762887</v>
      </c>
      <c r="C47" s="215">
        <f>C6+(C10*(C6/SUM(C6:C7)))</f>
        <v>85176.22139567796</v>
      </c>
      <c r="D47" s="214">
        <f>D6+(D10*(D6/SUM(D6:D7)))</f>
        <v>143485.49300758139</v>
      </c>
    </row>
    <row r="48" spans="1:4" s="203" customFormat="1">
      <c r="A48" s="210" t="s">
        <v>377</v>
      </c>
      <c r="B48" s="215">
        <f>B7+(B10*(B7/SUM(B6:B7)))</f>
        <v>162550.66804123711</v>
      </c>
      <c r="C48" s="215">
        <f>C7+(C10*(C7/SUM(C6:C7)))</f>
        <v>158869.77860432203</v>
      </c>
      <c r="D48" s="214">
        <f>D7+(D10*(D7/SUM(D6:D7)))</f>
        <v>122496.5069924186</v>
      </c>
    </row>
    <row r="49" spans="1:4" s="203" customFormat="1">
      <c r="A49" s="358" t="s">
        <v>371</v>
      </c>
      <c r="B49" s="215">
        <f>B8+B27+B11</f>
        <v>8347.6978249999993</v>
      </c>
      <c r="C49" s="215">
        <f>C8+C27+C11</f>
        <v>5333.4153249999999</v>
      </c>
      <c r="D49" s="214">
        <f>D8+D27+D11</f>
        <v>5325.4350000000004</v>
      </c>
    </row>
    <row r="50" spans="1:4" s="203" customFormat="1">
      <c r="A50" s="358" t="s">
        <v>370</v>
      </c>
      <c r="B50" s="215">
        <f>B28*(1-$A$2)</f>
        <v>3016.2999999999997</v>
      </c>
      <c r="C50" s="215">
        <f>C28*(1-$A$2)</f>
        <v>5670</v>
      </c>
      <c r="D50" s="214">
        <f>D28*(1-$A$2)</f>
        <v>5670</v>
      </c>
    </row>
    <row r="51" spans="1:4" s="203" customFormat="1">
      <c r="A51" s="210" t="s">
        <v>361</v>
      </c>
      <c r="B51" s="323">
        <f>B49+B50</f>
        <v>11363.997824999999</v>
      </c>
      <c r="C51" s="323">
        <f t="shared" ref="C51:D51" si="13">C49+C50</f>
        <v>11003.415325</v>
      </c>
      <c r="D51" s="324">
        <f t="shared" si="13"/>
        <v>10995.435000000001</v>
      </c>
    </row>
    <row r="52" spans="1:4" s="203" customFormat="1" ht="15.75" thickBot="1">
      <c r="A52" s="361" t="s">
        <v>363</v>
      </c>
      <c r="B52" s="362">
        <f>SUM(B45,B47:B48,B51)</f>
        <v>254029.997825</v>
      </c>
      <c r="C52" s="362">
        <f>SUM(C45,C47:C48,C51)</f>
        <v>305581.90732499998</v>
      </c>
      <c r="D52" s="363">
        <f t="shared" ref="D52" si="14">SUM(D45,D47:D48,D51)</f>
        <v>320977.435</v>
      </c>
    </row>
    <row r="53" spans="1:4" s="203" customFormat="1" ht="15" customHeight="1" thickBot="1">
      <c r="A53" s="372" t="s">
        <v>142</v>
      </c>
      <c r="B53" s="343">
        <v>2017</v>
      </c>
      <c r="C53" s="343">
        <v>2018</v>
      </c>
      <c r="D53" s="344">
        <f>D4</f>
        <v>2019</v>
      </c>
    </row>
    <row r="54" spans="1:4" s="203" customFormat="1" ht="15" customHeight="1" thickBot="1">
      <c r="A54" s="370" t="s">
        <v>421</v>
      </c>
      <c r="B54" s="305">
        <v>-96.22</v>
      </c>
      <c r="C54" s="305">
        <v>10000</v>
      </c>
      <c r="D54" s="317">
        <v>10000</v>
      </c>
    </row>
    <row r="55" spans="1:4" s="203" customFormat="1">
      <c r="B55" s="371" t="str">
        <f>"FY"&amp;(B30)</f>
        <v>FY2017</v>
      </c>
      <c r="C55" s="371" t="str">
        <f>"FY"&amp;(C30)</f>
        <v>FY2018</v>
      </c>
      <c r="D55" s="371" t="str">
        <f>"FY"&amp;(D30)</f>
        <v>FY2019</v>
      </c>
    </row>
    <row r="56" spans="1:4" s="203" customFormat="1">
      <c r="A56" s="336"/>
      <c r="B56" s="336"/>
      <c r="C56" s="336"/>
      <c r="D56" s="336"/>
    </row>
    <row r="57" spans="1:4" s="203" customFormat="1">
      <c r="A57" s="336"/>
      <c r="B57" s="336"/>
      <c r="C57" s="336"/>
      <c r="D57" s="336"/>
    </row>
    <row r="58" spans="1:4" s="203" customFormat="1">
      <c r="A58" s="336"/>
      <c r="B58" s="336"/>
      <c r="C58" s="336"/>
      <c r="D58" s="336"/>
    </row>
    <row r="59" spans="1:4" s="203" customFormat="1">
      <c r="A59" s="336"/>
      <c r="B59" s="336"/>
      <c r="C59" s="336"/>
      <c r="D59" s="336"/>
    </row>
    <row r="60" spans="1:4" s="203" customFormat="1">
      <c r="A60" s="336"/>
      <c r="B60" s="336"/>
      <c r="C60" s="336"/>
      <c r="D60" s="336"/>
    </row>
    <row r="61" spans="1:4" s="203" customFormat="1">
      <c r="A61" s="336"/>
      <c r="B61" s="336"/>
      <c r="C61" s="336"/>
      <c r="D61" s="336"/>
    </row>
    <row r="62" spans="1:4" s="203" customFormat="1">
      <c r="A62" s="336"/>
      <c r="B62" s="336"/>
      <c r="C62" s="336"/>
      <c r="D62" s="336"/>
    </row>
    <row r="63" spans="1:4" s="203" customFormat="1">
      <c r="B63" s="337"/>
      <c r="C63" s="337"/>
      <c r="D63" s="337"/>
    </row>
    <row r="64" spans="1:4" s="203" customFormat="1">
      <c r="B64" s="338"/>
      <c r="C64" s="338"/>
      <c r="D64" s="338"/>
    </row>
    <row r="65" s="203" customFormat="1"/>
    <row r="66" s="203" customFormat="1"/>
    <row r="67" s="203" customFormat="1"/>
    <row r="68" s="203" customFormat="1"/>
    <row r="69" s="203" customFormat="1"/>
    <row r="70" s="203" customFormat="1"/>
  </sheetData>
  <customSheetViews>
    <customSheetView guid="{2226E858-00AE-4A92-8CF6-5B54D2FA62D4}" showPageBreaks="1" fitToPage="1" topLeftCell="K41">
      <selection activeCell="U70" sqref="U70"/>
      <pageMargins left="0.7" right="0.7" top="0.75" bottom="0.75" header="0.3" footer="0.3"/>
      <pageSetup scale="17" orientation="portrait" r:id="rId1"/>
    </customSheetView>
  </customSheetViews>
  <mergeCells count="3">
    <mergeCell ref="B2:D2"/>
    <mergeCell ref="B3:D3"/>
    <mergeCell ref="A1:D1"/>
  </mergeCells>
  <pageMargins left="0.7" right="0.7" top="0.75" bottom="0.75" header="0.3" footer="0.3"/>
  <pageSetup scale="18" orientation="portrait" r:id="rId2"/>
  <ignoredErrors>
    <ignoredError sqref="B12:D49"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outlinePr summaryBelow="0" summaryRight="0"/>
  </sheetPr>
  <dimension ref="A1:E49"/>
  <sheetViews>
    <sheetView zoomScale="85" zoomScaleNormal="85" workbookViewId="0">
      <selection sqref="A1:D1"/>
    </sheetView>
  </sheetViews>
  <sheetFormatPr defaultRowHeight="15"/>
  <cols>
    <col min="1" max="1" width="16.5703125" customWidth="1"/>
    <col min="2" max="2" width="48.5703125" bestFit="1" customWidth="1"/>
    <col min="3" max="5" width="10.7109375" customWidth="1"/>
  </cols>
  <sheetData>
    <row r="1" spans="1:5" ht="18.75" thickBot="1">
      <c r="A1" s="647" t="s">
        <v>422</v>
      </c>
      <c r="B1" s="648"/>
      <c r="C1" s="648"/>
      <c r="D1" s="649"/>
    </row>
    <row r="2" spans="1:5">
      <c r="A2" s="373"/>
      <c r="B2" s="374" t="s">
        <v>394</v>
      </c>
      <c r="C2" s="374" t="str">
        <f>"FY "&amp;C$4</f>
        <v>FY 2018</v>
      </c>
      <c r="D2" s="375" t="str">
        <f t="shared" ref="D2" si="0">"FY "&amp;D$4</f>
        <v>FY 2019</v>
      </c>
    </row>
    <row r="3" spans="1:5" ht="15.75" customHeight="1" thickBot="1">
      <c r="A3" s="376"/>
      <c r="B3" s="185"/>
      <c r="C3" s="681" t="s">
        <v>380</v>
      </c>
      <c r="D3" s="682"/>
    </row>
    <row r="4" spans="1:5">
      <c r="A4" s="377"/>
      <c r="B4" s="378"/>
      <c r="C4" s="378">
        <v>2018</v>
      </c>
      <c r="D4" s="379">
        <f t="shared" ref="D4" si="1">C4+1</f>
        <v>2019</v>
      </c>
    </row>
    <row r="5" spans="1:5">
      <c r="A5" s="385" t="s">
        <v>87</v>
      </c>
      <c r="B5" s="265"/>
      <c r="C5" s="266"/>
      <c r="D5" s="386"/>
    </row>
    <row r="6" spans="1:5">
      <c r="A6" s="381" t="s">
        <v>89</v>
      </c>
      <c r="B6" s="114"/>
      <c r="C6" s="114"/>
      <c r="D6" s="211"/>
      <c r="E6" s="203"/>
    </row>
    <row r="7" spans="1:5">
      <c r="A7" s="382"/>
      <c r="B7" s="387" t="s">
        <v>88</v>
      </c>
      <c r="C7" s="215">
        <v>1658.904</v>
      </c>
      <c r="D7" s="214">
        <v>1517.8910000000001</v>
      </c>
      <c r="E7" s="203"/>
    </row>
    <row r="8" spans="1:5">
      <c r="A8" s="382"/>
      <c r="B8" s="114" t="s">
        <v>90</v>
      </c>
      <c r="C8" s="215">
        <v>100775.67600000001</v>
      </c>
      <c r="D8" s="214">
        <v>105638.007</v>
      </c>
      <c r="E8" s="203"/>
    </row>
    <row r="9" spans="1:5">
      <c r="A9" s="382"/>
      <c r="B9" s="114" t="s">
        <v>91</v>
      </c>
      <c r="C9" s="215">
        <v>0</v>
      </c>
      <c r="D9" s="214">
        <v>0</v>
      </c>
      <c r="E9" s="203"/>
    </row>
    <row r="10" spans="1:5">
      <c r="A10" s="382"/>
      <c r="B10" s="114" t="s">
        <v>92</v>
      </c>
      <c r="C10" s="215">
        <v>0</v>
      </c>
      <c r="D10" s="214">
        <v>555.70799999999997</v>
      </c>
      <c r="E10" s="203"/>
    </row>
    <row r="11" spans="1:5" s="7" customFormat="1">
      <c r="A11" s="382"/>
      <c r="B11" s="114" t="s">
        <v>75</v>
      </c>
      <c r="C11" s="215">
        <v>223.274</v>
      </c>
      <c r="D11" s="214">
        <v>959.23500000000001</v>
      </c>
      <c r="E11" s="203"/>
    </row>
    <row r="12" spans="1:5">
      <c r="A12" s="383"/>
      <c r="B12" s="114" t="s">
        <v>20</v>
      </c>
      <c r="C12" s="215"/>
      <c r="D12" s="214"/>
      <c r="E12" s="203"/>
    </row>
    <row r="13" spans="1:5" s="7" customFormat="1">
      <c r="A13" s="383"/>
      <c r="B13" s="119" t="s">
        <v>20</v>
      </c>
      <c r="C13" s="323"/>
      <c r="D13" s="324"/>
      <c r="E13" s="203"/>
    </row>
    <row r="14" spans="1:5" s="7" customFormat="1">
      <c r="A14" s="383"/>
      <c r="B14" s="388" t="s">
        <v>99</v>
      </c>
      <c r="C14" s="215">
        <f>SUM(C7:C10)</f>
        <v>102434.58</v>
      </c>
      <c r="D14" s="214">
        <f>SUM(D7:D10)</f>
        <v>107711.606</v>
      </c>
      <c r="E14" s="203"/>
    </row>
    <row r="15" spans="1:5">
      <c r="A15" s="381" t="s">
        <v>93</v>
      </c>
      <c r="B15" s="114"/>
      <c r="C15" s="215"/>
      <c r="D15" s="214"/>
      <c r="E15" s="203"/>
    </row>
    <row r="16" spans="1:5" s="7" customFormat="1">
      <c r="A16" s="381"/>
      <c r="B16" s="114" t="s">
        <v>95</v>
      </c>
      <c r="C16" s="215">
        <v>2209.1579999999999</v>
      </c>
      <c r="D16" s="214">
        <v>2113.5929999999998</v>
      </c>
      <c r="E16" s="203"/>
    </row>
    <row r="17" spans="1:5">
      <c r="A17" s="382"/>
      <c r="B17" s="114" t="s">
        <v>94</v>
      </c>
      <c r="C17" s="215">
        <v>13964.23</v>
      </c>
      <c r="D17" s="214">
        <v>5110.8459999999995</v>
      </c>
      <c r="E17" s="203"/>
    </row>
    <row r="18" spans="1:5">
      <c r="A18" s="382"/>
      <c r="B18" s="114" t="s">
        <v>379</v>
      </c>
      <c r="C18" s="215">
        <v>5815.5020000000004</v>
      </c>
      <c r="D18" s="214">
        <v>12696.284</v>
      </c>
      <c r="E18" s="203"/>
    </row>
    <row r="19" spans="1:5">
      <c r="A19" s="382"/>
      <c r="B19" s="114" t="s">
        <v>97</v>
      </c>
      <c r="C19" s="215">
        <v>12727.727999999999</v>
      </c>
      <c r="D19" s="214">
        <v>12727.727999999999</v>
      </c>
      <c r="E19" s="203"/>
    </row>
    <row r="20" spans="1:5">
      <c r="A20" s="382"/>
      <c r="B20" s="114" t="s">
        <v>96</v>
      </c>
      <c r="C20" s="215">
        <v>23085.004000000001</v>
      </c>
      <c r="D20" s="214">
        <v>23066.874</v>
      </c>
      <c r="E20" s="203"/>
    </row>
    <row r="21" spans="1:5">
      <c r="A21" s="382"/>
      <c r="B21" s="114" t="s">
        <v>98</v>
      </c>
      <c r="C21" s="215">
        <v>30043.571</v>
      </c>
      <c r="D21" s="214">
        <v>39340.196000000004</v>
      </c>
      <c r="E21" s="203"/>
    </row>
    <row r="22" spans="1:5" s="7" customFormat="1">
      <c r="A22" s="382"/>
      <c r="B22" s="114" t="s">
        <v>101</v>
      </c>
      <c r="C22" s="215">
        <v>4369.3252804563845</v>
      </c>
      <c r="D22" s="214">
        <v>4172</v>
      </c>
      <c r="E22" s="203"/>
    </row>
    <row r="23" spans="1:5" s="7" customFormat="1">
      <c r="A23" s="382"/>
      <c r="B23" s="114" t="s">
        <v>102</v>
      </c>
      <c r="C23" s="215">
        <v>16.520890027314991</v>
      </c>
      <c r="D23" s="214">
        <v>0</v>
      </c>
      <c r="E23" s="203"/>
    </row>
    <row r="24" spans="1:5">
      <c r="A24" s="382"/>
      <c r="B24" s="114" t="s">
        <v>250</v>
      </c>
      <c r="C24" s="215">
        <v>-5207.5619999999999</v>
      </c>
      <c r="D24" s="214">
        <v>-660.82299999999998</v>
      </c>
      <c r="E24" s="203"/>
    </row>
    <row r="25" spans="1:5">
      <c r="A25" s="382"/>
      <c r="B25" s="119" t="s">
        <v>378</v>
      </c>
      <c r="C25" s="323">
        <v>4096.41</v>
      </c>
      <c r="D25" s="324">
        <v>4096.41</v>
      </c>
      <c r="E25" s="203"/>
    </row>
    <row r="26" spans="1:5">
      <c r="A26" s="383"/>
      <c r="B26" s="388" t="s">
        <v>100</v>
      </c>
      <c r="C26" s="215">
        <f>SUM(C16:C25)</f>
        <v>91119.887170483693</v>
      </c>
      <c r="D26" s="214">
        <f>SUM(D16:D25)</f>
        <v>102663.10800000001</v>
      </c>
      <c r="E26" s="203"/>
    </row>
    <row r="27" spans="1:5">
      <c r="A27" s="383"/>
      <c r="B27" s="114"/>
      <c r="C27" s="221"/>
      <c r="D27" s="214"/>
      <c r="E27" s="203"/>
    </row>
    <row r="28" spans="1:5">
      <c r="A28" s="385" t="s">
        <v>103</v>
      </c>
      <c r="B28" s="389"/>
      <c r="C28" s="390"/>
      <c r="D28" s="391"/>
      <c r="E28" s="203"/>
    </row>
    <row r="29" spans="1:5">
      <c r="A29" s="381" t="s">
        <v>89</v>
      </c>
      <c r="B29" s="114"/>
      <c r="C29" s="215"/>
      <c r="D29" s="214"/>
      <c r="E29" s="203"/>
    </row>
    <row r="30" spans="1:5">
      <c r="A30" s="382"/>
      <c r="B30" s="114" t="s">
        <v>104</v>
      </c>
      <c r="C30" s="215">
        <v>1955.7940000000001</v>
      </c>
      <c r="D30" s="214">
        <v>21052.574000000001</v>
      </c>
      <c r="E30" s="203"/>
    </row>
    <row r="31" spans="1:5">
      <c r="A31" s="382"/>
      <c r="B31" s="114" t="s">
        <v>105</v>
      </c>
      <c r="C31" s="215">
        <v>45950</v>
      </c>
      <c r="D31" s="214">
        <v>213963.23800000001</v>
      </c>
      <c r="E31" s="203"/>
    </row>
    <row r="32" spans="1:5">
      <c r="A32" s="383"/>
      <c r="B32" s="119" t="s">
        <v>20</v>
      </c>
      <c r="C32" s="323"/>
      <c r="D32" s="324"/>
      <c r="E32" s="203"/>
    </row>
    <row r="33" spans="1:5" s="7" customFormat="1">
      <c r="A33" s="383"/>
      <c r="B33" s="388" t="s">
        <v>99</v>
      </c>
      <c r="C33" s="215">
        <f t="shared" ref="C33:D33" si="2">SUM(C30:C31)</f>
        <v>47905.794000000002</v>
      </c>
      <c r="D33" s="214">
        <f t="shared" si="2"/>
        <v>235015.81200000001</v>
      </c>
      <c r="E33" s="203"/>
    </row>
    <row r="34" spans="1:5">
      <c r="A34" s="381" t="s">
        <v>93</v>
      </c>
      <c r="B34" s="114"/>
      <c r="C34" s="215"/>
      <c r="D34" s="214"/>
      <c r="E34" s="203"/>
    </row>
    <row r="35" spans="1:5">
      <c r="A35" s="382"/>
      <c r="B35" s="114" t="s">
        <v>95</v>
      </c>
      <c r="C35" s="215">
        <v>1873.598</v>
      </c>
      <c r="D35" s="214">
        <v>1776.001</v>
      </c>
      <c r="E35" s="203"/>
    </row>
    <row r="36" spans="1:5">
      <c r="A36" s="382"/>
      <c r="B36" s="114" t="s">
        <v>94</v>
      </c>
      <c r="C36" s="215">
        <v>191503.61900000001</v>
      </c>
      <c r="D36" s="214">
        <v>4837.5200000000004</v>
      </c>
      <c r="E36" s="203"/>
    </row>
    <row r="37" spans="1:5">
      <c r="A37" s="382"/>
      <c r="B37" s="114" t="s">
        <v>378</v>
      </c>
      <c r="C37" s="215">
        <v>0</v>
      </c>
      <c r="D37" s="214">
        <v>0</v>
      </c>
      <c r="E37" s="203"/>
    </row>
    <row r="38" spans="1:5">
      <c r="A38" s="382"/>
      <c r="B38" s="114" t="s">
        <v>97</v>
      </c>
      <c r="C38" s="215">
        <v>0</v>
      </c>
      <c r="D38" s="214">
        <v>0</v>
      </c>
      <c r="E38" s="203"/>
    </row>
    <row r="39" spans="1:5">
      <c r="A39" s="382"/>
      <c r="B39" s="114" t="s">
        <v>96</v>
      </c>
      <c r="C39" s="215">
        <v>0</v>
      </c>
      <c r="D39" s="214">
        <v>10690</v>
      </c>
      <c r="E39" s="203"/>
    </row>
    <row r="40" spans="1:5">
      <c r="A40" s="382"/>
      <c r="B40" s="114" t="s">
        <v>98</v>
      </c>
      <c r="C40" s="215">
        <v>0</v>
      </c>
      <c r="D40" s="214">
        <v>0</v>
      </c>
      <c r="E40" s="203"/>
    </row>
    <row r="41" spans="1:5">
      <c r="A41" s="382"/>
      <c r="B41" s="114" t="s">
        <v>154</v>
      </c>
      <c r="C41" s="215">
        <v>14904.017888325026</v>
      </c>
      <c r="D41" s="214">
        <v>14766.860225654802</v>
      </c>
      <c r="E41" s="203"/>
    </row>
    <row r="42" spans="1:5">
      <c r="A42" s="382"/>
      <c r="B42" s="114" t="s">
        <v>155</v>
      </c>
      <c r="C42" s="215">
        <v>2352.3933192940153</v>
      </c>
      <c r="D42" s="214">
        <v>0</v>
      </c>
      <c r="E42" s="203"/>
    </row>
    <row r="43" spans="1:5" s="7" customFormat="1">
      <c r="A43" s="382"/>
      <c r="B43" s="114" t="s">
        <v>379</v>
      </c>
      <c r="C43" s="215">
        <v>0</v>
      </c>
      <c r="D43" s="214">
        <v>0</v>
      </c>
      <c r="E43" s="203"/>
    </row>
    <row r="44" spans="1:5" s="7" customFormat="1">
      <c r="A44" s="382"/>
      <c r="B44" s="114" t="s">
        <v>20</v>
      </c>
      <c r="C44" s="215"/>
      <c r="D44" s="214"/>
      <c r="E44" s="203"/>
    </row>
    <row r="45" spans="1:5">
      <c r="A45" s="383"/>
      <c r="B45" s="392" t="s">
        <v>100</v>
      </c>
      <c r="C45" s="323">
        <f>SUM(C35:C40)+C43</f>
        <v>193377.217</v>
      </c>
      <c r="D45" s="324">
        <f>SUM(D35:D40)+D43</f>
        <v>17303.521000000001</v>
      </c>
      <c r="E45" s="203"/>
    </row>
    <row r="46" spans="1:5" ht="15.75" thickBot="1">
      <c r="A46" s="384"/>
      <c r="B46" s="258" t="s">
        <v>423</v>
      </c>
      <c r="C46" s="259">
        <f>-(C35+C37+C38+C39+C40+C43)</f>
        <v>-1873.598</v>
      </c>
      <c r="D46" s="261">
        <f>-(D35+D37+D38+D39+D40+D43)</f>
        <v>-12466.001</v>
      </c>
      <c r="E46" s="203"/>
    </row>
    <row r="47" spans="1:5">
      <c r="B47" s="203"/>
      <c r="C47" s="209"/>
      <c r="D47" s="209"/>
      <c r="E47" s="203"/>
    </row>
    <row r="48" spans="1:5">
      <c r="D48" s="103"/>
    </row>
    <row r="49" spans="3:3">
      <c r="C49" s="193"/>
    </row>
  </sheetData>
  <customSheetViews>
    <customSheetView guid="{2226E858-00AE-4A92-8CF6-5B54D2FA62D4}" showPageBreaks="1">
      <selection activeCell="D8" sqref="D8:K11"/>
      <pageMargins left="0.7" right="0.7" top="0.75" bottom="0.75" header="0.3" footer="0.3"/>
      <pageSetup orientation="portrait" r:id="rId1"/>
    </customSheetView>
  </customSheetViews>
  <mergeCells count="2">
    <mergeCell ref="C3:D3"/>
    <mergeCell ref="A1:D1"/>
  </mergeCells>
  <pageMargins left="0.7" right="0.7" top="0.75" bottom="0.75" header="0.3" footer="0.3"/>
  <pageSetup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H39"/>
  <sheetViews>
    <sheetView workbookViewId="0">
      <selection activeCell="J1" sqref="J1"/>
    </sheetView>
  </sheetViews>
  <sheetFormatPr defaultRowHeight="15"/>
  <cols>
    <col min="1" max="1" width="20.42578125" customWidth="1"/>
    <col min="2" max="2" width="30.42578125" customWidth="1"/>
    <col min="3" max="6" width="13.28515625" customWidth="1"/>
  </cols>
  <sheetData>
    <row r="1" spans="1:6" ht="18.75" thickBot="1">
      <c r="A1" s="678" t="s">
        <v>424</v>
      </c>
      <c r="B1" s="679"/>
      <c r="C1" s="679"/>
      <c r="D1" s="679"/>
      <c r="E1" s="679"/>
      <c r="F1" s="680"/>
    </row>
    <row r="2" spans="1:6">
      <c r="A2" s="396" t="s">
        <v>124</v>
      </c>
      <c r="B2" s="397">
        <v>3.0499999999999999E-2</v>
      </c>
      <c r="C2" s="398"/>
      <c r="D2" s="398"/>
      <c r="E2" s="398"/>
      <c r="F2" s="399"/>
    </row>
    <row r="3" spans="1:6" ht="15" customHeight="1" thickBot="1">
      <c r="A3" s="400" t="s">
        <v>57</v>
      </c>
      <c r="B3" s="401">
        <v>0.65</v>
      </c>
      <c r="C3" s="402"/>
      <c r="D3" s="402"/>
      <c r="E3" s="402"/>
      <c r="F3" s="403"/>
    </row>
    <row r="4" spans="1:6" ht="15.75" thickBot="1">
      <c r="A4" s="406"/>
      <c r="B4" s="407"/>
      <c r="C4" s="404" t="s">
        <v>394</v>
      </c>
      <c r="D4" s="404">
        <v>2017</v>
      </c>
      <c r="E4" s="404">
        <f>D4+1</f>
        <v>2018</v>
      </c>
      <c r="F4" s="405">
        <f t="shared" ref="F4" si="0">E4+1</f>
        <v>2019</v>
      </c>
    </row>
    <row r="5" spans="1:6" ht="15.75" thickBot="1">
      <c r="A5" s="419"/>
      <c r="B5" s="420"/>
      <c r="C5" s="416" t="s">
        <v>375</v>
      </c>
      <c r="D5" s="421"/>
      <c r="E5" s="669" t="s">
        <v>380</v>
      </c>
      <c r="F5" s="683"/>
    </row>
    <row r="6" spans="1:6" ht="15.75" thickBot="1">
      <c r="A6" s="413"/>
      <c r="B6" s="414"/>
      <c r="C6" s="415">
        <v>2016</v>
      </c>
      <c r="D6" s="416" t="str">
        <f>"FY"&amp;($C$6+1)</f>
        <v>FY2017</v>
      </c>
      <c r="E6" s="417" t="str">
        <f>"FY"&amp;($C$6+2)</f>
        <v>FY2018</v>
      </c>
      <c r="F6" s="418" t="str">
        <f>"FY"&amp;($C$6+3)</f>
        <v>FY2019</v>
      </c>
    </row>
    <row r="7" spans="1:6" ht="15.75" thickBot="1">
      <c r="A7" s="408" t="s">
        <v>115</v>
      </c>
      <c r="B7" s="409"/>
      <c r="C7" s="410"/>
      <c r="D7" s="410"/>
      <c r="E7" s="411"/>
      <c r="F7" s="412"/>
    </row>
    <row r="8" spans="1:6">
      <c r="A8" s="443" t="s">
        <v>121</v>
      </c>
      <c r="B8" s="2"/>
      <c r="C8" s="444"/>
      <c r="D8" s="445">
        <f>SUM((HLOOKUP(D$4,'Capital Input File'!$B$13:$D$18,2,FALSE)),(HLOOKUP(D$4,'Capital Input File'!$B$13:$D$18,3,FALSE)),(HLOOKUP(D$4,'Capital Input File'!$B$13:$D$18,4,FALSE)),(HLOOKUP(D$4,'Capital Input File'!$B$13:$D$18,5,FALSE)),(HLOOKUP(D$4,'Capital Input File'!$B$13:$D$18,6,FALSE)))</f>
        <v>470700.14200000005</v>
      </c>
      <c r="E8" s="213">
        <f>SUM((HLOOKUP(E$4,'Capital Input File'!$B$13:$D$18,2,FALSE)),(HLOOKUP(E$4,'Capital Input File'!$B$13:$D$18,3,FALSE)),(HLOOKUP(E$4,'Capital Input File'!$B$13:$D$18,4,FALSE)),(HLOOKUP(E$4,'Capital Input File'!$B$13:$D$18,5,FALSE)),(HLOOKUP(E$4,'Capital Input File'!$B$13:$D$18,6,FALSE)))</f>
        <v>470545.21799999999</v>
      </c>
      <c r="F8" s="214">
        <f>SUM((HLOOKUP(F$4,'Capital Input File'!$B$13:$D$18,2,FALSE)),(HLOOKUP(F$4,'Capital Input File'!$B$13:$D$18,3,FALSE)),(HLOOKUP(F$4,'Capital Input File'!$B$13:$D$18,4,FALSE)),(HLOOKUP(F$4,'Capital Input File'!$B$13:$D$18,5,FALSE)),(HLOOKUP(F$4,'Capital Input File'!$B$13:$D$18,6,FALSE)))</f>
        <v>486228.005</v>
      </c>
    </row>
    <row r="9" spans="1:6">
      <c r="A9" s="443" t="s">
        <v>116</v>
      </c>
      <c r="B9" s="2"/>
      <c r="C9" s="444"/>
      <c r="D9" s="445">
        <v>480954.64666999999</v>
      </c>
      <c r="E9" s="213">
        <v>449623.13999499992</v>
      </c>
      <c r="F9" s="214">
        <v>506406.78932527493</v>
      </c>
    </row>
    <row r="10" spans="1:6">
      <c r="A10" s="443" t="s">
        <v>117</v>
      </c>
      <c r="B10" s="2"/>
      <c r="C10" s="444"/>
      <c r="D10" s="444">
        <f>C11</f>
        <v>800632.26379999996</v>
      </c>
      <c r="E10" s="225">
        <f t="shared" ref="E10:F10" si="1">D11</f>
        <v>790377.75913000002</v>
      </c>
      <c r="F10" s="226">
        <f t="shared" si="1"/>
        <v>811299.83713500015</v>
      </c>
    </row>
    <row r="11" spans="1:6">
      <c r="A11" s="443" t="s">
        <v>118</v>
      </c>
      <c r="B11" s="2"/>
      <c r="C11" s="444">
        <v>800632.26379999996</v>
      </c>
      <c r="D11" s="444">
        <f>D8-D9+D10</f>
        <v>790377.75913000002</v>
      </c>
      <c r="E11" s="225">
        <f t="shared" ref="E11:F11" si="2">E8-E9+E10</f>
        <v>811299.83713500015</v>
      </c>
      <c r="F11" s="226">
        <f t="shared" si="2"/>
        <v>791121.05280972528</v>
      </c>
    </row>
    <row r="12" spans="1:6">
      <c r="A12" s="443" t="s">
        <v>119</v>
      </c>
      <c r="B12" s="2"/>
      <c r="C12" s="445"/>
      <c r="D12" s="445">
        <f>((D11+D10)*0.5)</f>
        <v>795505.01146499999</v>
      </c>
      <c r="E12" s="213">
        <f t="shared" ref="E12:F12" si="3">((E11+E10)*0.5)</f>
        <v>800838.79813250015</v>
      </c>
      <c r="F12" s="214">
        <f t="shared" si="3"/>
        <v>801210.44497236272</v>
      </c>
    </row>
    <row r="13" spans="1:6">
      <c r="A13" s="443"/>
      <c r="B13" s="2"/>
      <c r="C13" s="446"/>
      <c r="D13" s="446"/>
      <c r="E13" s="210"/>
      <c r="F13" s="211"/>
    </row>
    <row r="14" spans="1:6">
      <c r="A14" s="443" t="s">
        <v>120</v>
      </c>
      <c r="B14" s="2"/>
      <c r="C14" s="447"/>
      <c r="D14" s="447">
        <f>$B$2</f>
        <v>3.0499999999999999E-2</v>
      </c>
      <c r="E14" s="448">
        <f>D14+D15</f>
        <v>3.0499999999999999E-2</v>
      </c>
      <c r="F14" s="449">
        <f t="shared" ref="F14" si="4">E14+E15</f>
        <v>3.0499999999999999E-2</v>
      </c>
    </row>
    <row r="15" spans="1:6" s="7" customFormat="1">
      <c r="A15" s="450" t="s">
        <v>139</v>
      </c>
      <c r="B15" s="2"/>
      <c r="C15" s="447"/>
      <c r="D15" s="447">
        <v>0</v>
      </c>
      <c r="E15" s="448">
        <v>0</v>
      </c>
      <c r="F15" s="449">
        <v>5.0000000000000001E-4</v>
      </c>
    </row>
    <row r="16" spans="1:6">
      <c r="A16" s="443" t="s">
        <v>74</v>
      </c>
      <c r="B16" s="2"/>
      <c r="C16" s="447"/>
      <c r="D16" s="445">
        <f>(D12)*D14</f>
        <v>24262.902849682498</v>
      </c>
      <c r="E16" s="213">
        <f>(E12)*E14</f>
        <v>24425.583343041253</v>
      </c>
      <c r="F16" s="214">
        <f>(F12)*F14</f>
        <v>24436.918571657061</v>
      </c>
    </row>
    <row r="17" spans="1:8">
      <c r="A17" s="451"/>
      <c r="B17" s="2"/>
      <c r="C17" s="446"/>
      <c r="D17" s="446"/>
      <c r="E17" s="210"/>
      <c r="F17" s="211"/>
    </row>
    <row r="18" spans="1:8">
      <c r="A18" s="443" t="s">
        <v>123</v>
      </c>
      <c r="B18" s="2"/>
      <c r="C18" s="446"/>
      <c r="D18" s="445">
        <f>HLOOKUP(D$4,'Capital Input File'!$B$30:$D$32,3,FALSE)</f>
        <v>5601.7</v>
      </c>
      <c r="E18" s="213">
        <f>HLOOKUP(E$4,'Capital Input File'!$B$30:$D$32,3,FALSE)</f>
        <v>10530</v>
      </c>
      <c r="F18" s="214">
        <f>HLOOKUP(F$4,'Capital Input File'!$B$30:$D$32,3,FALSE)</f>
        <v>10530</v>
      </c>
    </row>
    <row r="19" spans="1:8">
      <c r="A19" s="443" t="s">
        <v>122</v>
      </c>
      <c r="B19" s="2"/>
      <c r="C19" s="446"/>
      <c r="D19" s="445">
        <f>D18*D14</f>
        <v>170.85184999999998</v>
      </c>
      <c r="E19" s="213">
        <f t="shared" ref="E19:F19" si="5">((D18+E18)*0.5)*E14</f>
        <v>246.00842500000002</v>
      </c>
      <c r="F19" s="214">
        <f t="shared" si="5"/>
        <v>321.16500000000002</v>
      </c>
    </row>
    <row r="20" spans="1:8">
      <c r="A20" s="452" t="s">
        <v>138</v>
      </c>
      <c r="B20" s="2"/>
      <c r="C20" s="453">
        <f>C34+C35</f>
        <v>30997.70392</v>
      </c>
      <c r="D20" s="444">
        <f>D19+D16</f>
        <v>24433.754699682497</v>
      </c>
      <c r="E20" s="225">
        <f t="shared" ref="E20:F20" si="6">E19+E16</f>
        <v>24671.591768041253</v>
      </c>
      <c r="F20" s="226">
        <f t="shared" si="6"/>
        <v>24758.083571657062</v>
      </c>
    </row>
    <row r="21" spans="1:8" ht="15.75" thickBot="1">
      <c r="A21" s="451"/>
      <c r="B21" s="2"/>
      <c r="C21" s="446"/>
      <c r="D21" s="446"/>
      <c r="E21" s="225"/>
      <c r="F21" s="211"/>
    </row>
    <row r="22" spans="1:8" s="7" customFormat="1" ht="15.75" thickBot="1">
      <c r="A22" s="408" t="s">
        <v>140</v>
      </c>
      <c r="B22" s="409"/>
      <c r="C22" s="432"/>
      <c r="D22" s="432"/>
      <c r="E22" s="433"/>
      <c r="F22" s="434"/>
    </row>
    <row r="23" spans="1:8" s="7" customFormat="1">
      <c r="A23" s="443" t="s">
        <v>141</v>
      </c>
      <c r="B23" s="2"/>
      <c r="C23" s="445"/>
      <c r="D23" s="445">
        <f>HLOOKUP(D$4,'Capital Input File'!$B$53:$D$54,2,FALSE)</f>
        <v>-96.22</v>
      </c>
      <c r="E23" s="213">
        <f>HLOOKUP(E$4,'Capital Input File'!$B$53:$D$54,2,FALSE)</f>
        <v>10000</v>
      </c>
      <c r="F23" s="214">
        <f>HLOOKUP(F$4,'Capital Input File'!$B$53:$D$54,2,FALSE)</f>
        <v>10000</v>
      </c>
    </row>
    <row r="24" spans="1:8" s="7" customFormat="1">
      <c r="A24" s="443" t="s">
        <v>355</v>
      </c>
      <c r="B24" s="2"/>
      <c r="C24" s="445"/>
      <c r="D24" s="445">
        <v>-96.22</v>
      </c>
      <c r="E24" s="213">
        <v>10000</v>
      </c>
      <c r="F24" s="214">
        <v>10000</v>
      </c>
    </row>
    <row r="25" spans="1:8" s="7" customFormat="1">
      <c r="A25" s="443" t="s">
        <v>117</v>
      </c>
      <c r="B25" s="2"/>
      <c r="C25" s="445"/>
      <c r="D25" s="445">
        <f>C26</f>
        <v>2007.6419500000002</v>
      </c>
      <c r="E25" s="213">
        <f t="shared" ref="E25:F25" si="7">D26</f>
        <v>2007.6419500000002</v>
      </c>
      <c r="F25" s="214">
        <f t="shared" si="7"/>
        <v>2007.6419500000002</v>
      </c>
    </row>
    <row r="26" spans="1:8" s="7" customFormat="1">
      <c r="A26" s="443" t="s">
        <v>118</v>
      </c>
      <c r="B26" s="2"/>
      <c r="C26" s="445">
        <v>2007.6419500000002</v>
      </c>
      <c r="D26" s="444">
        <f>D23-D24+D25</f>
        <v>2007.6419500000002</v>
      </c>
      <c r="E26" s="225">
        <f t="shared" ref="E26:F26" si="8">E23-E24+E25</f>
        <v>2007.6419500000002</v>
      </c>
      <c r="F26" s="226">
        <f t="shared" si="8"/>
        <v>2007.6419500000002</v>
      </c>
    </row>
    <row r="27" spans="1:8" s="7" customFormat="1">
      <c r="A27" s="443" t="s">
        <v>119</v>
      </c>
      <c r="B27" s="2"/>
      <c r="C27" s="445"/>
      <c r="D27" s="445">
        <f>((D25+D26)*0.5)</f>
        <v>2007.6419500000002</v>
      </c>
      <c r="E27" s="213">
        <f t="shared" ref="E27:F27" si="9">((E25+E26)*0.5)</f>
        <v>2007.6419500000002</v>
      </c>
      <c r="F27" s="214">
        <f t="shared" si="9"/>
        <v>2007.6419500000002</v>
      </c>
    </row>
    <row r="28" spans="1:8" s="7" customFormat="1" ht="15.75" thickBot="1">
      <c r="A28" s="451"/>
      <c r="B28" s="188" t="s">
        <v>143</v>
      </c>
      <c r="C28" s="454">
        <f>C36</f>
        <v>43.941489999999995</v>
      </c>
      <c r="D28" s="445">
        <f>D27*D14</f>
        <v>61.233079475000004</v>
      </c>
      <c r="E28" s="213">
        <f t="shared" ref="E28:F28" si="10">E27*E14</f>
        <v>61.233079475000004</v>
      </c>
      <c r="F28" s="214">
        <f t="shared" si="10"/>
        <v>61.233079475000004</v>
      </c>
      <c r="G28" s="197"/>
      <c r="H28" s="197"/>
    </row>
    <row r="29" spans="1:8" s="7" customFormat="1" ht="15.75" thickBot="1">
      <c r="A29" s="422" t="s">
        <v>144</v>
      </c>
      <c r="B29" s="439"/>
      <c r="C29" s="440">
        <f>C28+C20</f>
        <v>31041.645410000001</v>
      </c>
      <c r="D29" s="440">
        <f>D28+D20</f>
        <v>24494.987779157498</v>
      </c>
      <c r="E29" s="441">
        <f>E28+E20</f>
        <v>24732.824847516255</v>
      </c>
      <c r="F29" s="442">
        <f t="shared" ref="F29" si="11">F28+F20</f>
        <v>24819.316651132063</v>
      </c>
      <c r="G29" s="197"/>
      <c r="H29" s="197"/>
    </row>
    <row r="30" spans="1:8" s="7" customFormat="1" ht="15.75" thickBot="1">
      <c r="A30" s="423"/>
      <c r="B30" s="184"/>
      <c r="C30" s="435"/>
      <c r="D30" s="435"/>
      <c r="E30" s="435"/>
      <c r="F30" s="435"/>
    </row>
    <row r="31" spans="1:8" s="7" customFormat="1" ht="15.75" thickBot="1">
      <c r="A31" s="184"/>
      <c r="B31" s="428" t="s">
        <v>375</v>
      </c>
      <c r="C31" s="436">
        <v>2016</v>
      </c>
      <c r="D31" s="437"/>
      <c r="E31" s="437"/>
      <c r="F31" s="437"/>
    </row>
    <row r="32" spans="1:8">
      <c r="A32" s="184"/>
      <c r="B32" s="425" t="s">
        <v>135</v>
      </c>
      <c r="C32" s="429">
        <f t="shared" ref="C32" si="12">SUM(C34:C36)</f>
        <v>31041.645410000001</v>
      </c>
      <c r="D32" s="195"/>
      <c r="E32" s="195"/>
      <c r="F32" s="195"/>
    </row>
    <row r="33" spans="1:6" s="7" customFormat="1">
      <c r="A33" s="184"/>
      <c r="B33" s="425"/>
      <c r="C33" s="430">
        <f t="shared" ref="C33" si="13">C32/C29</f>
        <v>1</v>
      </c>
      <c r="D33" s="195"/>
      <c r="E33" s="195"/>
      <c r="F33" s="195"/>
    </row>
    <row r="34" spans="1:6">
      <c r="A34" s="424"/>
      <c r="B34" s="426" t="s">
        <v>136</v>
      </c>
      <c r="C34" s="214">
        <v>17028.25549</v>
      </c>
      <c r="D34" s="184"/>
      <c r="E34" s="184"/>
      <c r="F34" s="184"/>
    </row>
    <row r="35" spans="1:6">
      <c r="A35" s="424"/>
      <c r="B35" s="426" t="s">
        <v>137</v>
      </c>
      <c r="C35" s="214">
        <v>13969.44843</v>
      </c>
      <c r="D35" s="184"/>
      <c r="E35" s="184"/>
      <c r="F35" s="184"/>
    </row>
    <row r="36" spans="1:6" ht="16.5" customHeight="1" thickBot="1">
      <c r="A36" s="424"/>
      <c r="B36" s="427" t="s">
        <v>101</v>
      </c>
      <c r="C36" s="431">
        <v>43.941489999999995</v>
      </c>
      <c r="D36" s="184"/>
      <c r="E36" s="184"/>
      <c r="F36" s="184"/>
    </row>
    <row r="37" spans="1:6">
      <c r="A37" s="190"/>
      <c r="B37" s="190"/>
      <c r="C37" s="190"/>
      <c r="D37" s="190"/>
      <c r="E37" s="190"/>
      <c r="F37" s="190"/>
    </row>
    <row r="38" spans="1:6">
      <c r="A38" s="190"/>
      <c r="B38" s="190"/>
      <c r="C38" s="190"/>
      <c r="D38" s="190"/>
      <c r="E38" s="190"/>
      <c r="F38" s="190"/>
    </row>
    <row r="39" spans="1:6">
      <c r="A39" s="190"/>
      <c r="B39" s="190"/>
      <c r="C39" s="190"/>
      <c r="D39" s="190"/>
      <c r="E39" s="190"/>
      <c r="F39" s="190"/>
    </row>
  </sheetData>
  <customSheetViews>
    <customSheetView guid="{2226E858-00AE-4A92-8CF6-5B54D2FA62D4}" showPageBreaks="1" topLeftCell="A10">
      <selection activeCell="J43" sqref="J43"/>
      <pageMargins left="0.7" right="0.7" top="0.75" bottom="0.75" header="0.3" footer="0.3"/>
      <pageSetup orientation="portrait" r:id="rId1"/>
    </customSheetView>
  </customSheetViews>
  <mergeCells count="2">
    <mergeCell ref="A1:F1"/>
    <mergeCell ref="E5:F5"/>
  </mergeCells>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H26"/>
  <sheetViews>
    <sheetView workbookViewId="0">
      <selection activeCell="K1" sqref="K1"/>
    </sheetView>
  </sheetViews>
  <sheetFormatPr defaultRowHeight="15"/>
  <cols>
    <col min="1" max="1" width="31.28515625" bestFit="1" customWidth="1"/>
    <col min="2" max="2" width="18.7109375" bestFit="1" customWidth="1"/>
    <col min="3" max="3" width="10.7109375" style="7" customWidth="1"/>
    <col min="4" max="6" width="10.7109375" customWidth="1"/>
  </cols>
  <sheetData>
    <row r="1" spans="1:8" ht="18.75" thickBot="1">
      <c r="A1" s="647" t="s">
        <v>425</v>
      </c>
      <c r="B1" s="648"/>
      <c r="C1" s="648"/>
      <c r="D1" s="648"/>
      <c r="E1" s="648"/>
      <c r="F1" s="649"/>
    </row>
    <row r="2" spans="1:8" ht="15.75" thickBot="1">
      <c r="A2" s="457"/>
      <c r="B2" s="458"/>
      <c r="C2" s="458"/>
      <c r="D2" s="459">
        <v>2017</v>
      </c>
      <c r="E2" s="459">
        <f>D2+1</f>
        <v>2018</v>
      </c>
      <c r="F2" s="460">
        <f t="shared" ref="F2" si="0">E2+1</f>
        <v>2019</v>
      </c>
    </row>
    <row r="3" spans="1:8" ht="15.75" thickBot="1">
      <c r="A3" s="408" t="s">
        <v>383</v>
      </c>
      <c r="B3" s="409"/>
      <c r="C3" s="409"/>
      <c r="D3" s="461"/>
      <c r="E3" s="462"/>
      <c r="F3" s="412"/>
    </row>
    <row r="4" spans="1:8">
      <c r="A4" s="464" t="s">
        <v>125</v>
      </c>
      <c r="B4" s="465"/>
      <c r="C4" s="465"/>
      <c r="D4" s="471"/>
      <c r="E4" s="471">
        <f>+HLOOKUP(E$2,'Revenue Requirement'!$F$3:$G$70,66,FALSE)</f>
        <v>0</v>
      </c>
      <c r="F4" s="320">
        <f>+HLOOKUP(F$2,'Revenue Requirement'!$F$3:$G$70,66,FALSE)</f>
        <v>0</v>
      </c>
      <c r="G4" s="203"/>
      <c r="H4" s="203"/>
    </row>
    <row r="5" spans="1:8">
      <c r="A5" s="466" t="s">
        <v>126</v>
      </c>
      <c r="B5" s="2"/>
      <c r="C5" s="2"/>
      <c r="D5" s="456">
        <v>-15000</v>
      </c>
      <c r="E5" s="456">
        <v>-15000</v>
      </c>
      <c r="F5" s="214">
        <v>-15000</v>
      </c>
      <c r="G5" s="203"/>
      <c r="H5" s="203"/>
    </row>
    <row r="6" spans="1:8">
      <c r="A6" s="267" t="s">
        <v>127</v>
      </c>
      <c r="B6" s="2"/>
      <c r="C6" s="2"/>
      <c r="D6" s="472">
        <v>444000</v>
      </c>
      <c r="E6" s="224">
        <f>D7</f>
        <v>402000</v>
      </c>
      <c r="F6" s="226">
        <f>E7</f>
        <v>387000</v>
      </c>
      <c r="G6" s="203"/>
      <c r="H6" s="203"/>
    </row>
    <row r="7" spans="1:8">
      <c r="A7" s="267" t="s">
        <v>128</v>
      </c>
      <c r="B7" s="2"/>
      <c r="C7" s="215"/>
      <c r="D7" s="472">
        <f>D8</f>
        <v>402000</v>
      </c>
      <c r="E7" s="224">
        <f>SUM(E4:E6)</f>
        <v>387000</v>
      </c>
      <c r="F7" s="226">
        <f t="shared" ref="F7" si="1">SUM(F4:F6)</f>
        <v>372000</v>
      </c>
      <c r="G7" s="203"/>
      <c r="H7" s="203"/>
    </row>
    <row r="8" spans="1:8" s="7" customFormat="1">
      <c r="A8" s="267" t="s">
        <v>202</v>
      </c>
      <c r="B8" s="2"/>
      <c r="C8" s="215"/>
      <c r="D8" s="472">
        <v>402000</v>
      </c>
      <c r="E8" s="224"/>
      <c r="F8" s="226"/>
      <c r="G8" s="203"/>
      <c r="H8" s="203"/>
    </row>
    <row r="9" spans="1:8">
      <c r="A9" s="267" t="s">
        <v>129</v>
      </c>
      <c r="B9" s="2"/>
      <c r="C9" s="199"/>
      <c r="D9" s="473">
        <f>ROUND((D7+D6)*0.5,0)</f>
        <v>423000</v>
      </c>
      <c r="E9" s="473">
        <f>ROUND((E7+E6)*0.5,0)</f>
        <v>394500</v>
      </c>
      <c r="F9" s="214">
        <f>ROUND((F7+F6)*0.5,0)</f>
        <v>379500</v>
      </c>
      <c r="G9" s="203"/>
      <c r="H9" s="203"/>
    </row>
    <row r="10" spans="1:8">
      <c r="A10" s="467" t="s">
        <v>130</v>
      </c>
      <c r="B10" s="2"/>
      <c r="C10" s="455"/>
      <c r="D10" s="474">
        <v>1.72E-3</v>
      </c>
      <c r="E10" s="474">
        <v>4.4600000000000004E-3</v>
      </c>
      <c r="F10" s="475">
        <v>6.6299999999999996E-3</v>
      </c>
      <c r="G10" s="203"/>
      <c r="H10" s="203"/>
    </row>
    <row r="11" spans="1:8">
      <c r="A11" s="302" t="s">
        <v>131</v>
      </c>
      <c r="B11" s="4"/>
      <c r="C11" s="2"/>
      <c r="D11" s="456">
        <f>D9*D10</f>
        <v>727.56</v>
      </c>
      <c r="E11" s="456">
        <f>E9*E10</f>
        <v>1759.4700000000003</v>
      </c>
      <c r="F11" s="226">
        <f t="shared" ref="F11" si="2">F9*F10</f>
        <v>2516.085</v>
      </c>
      <c r="G11" s="203"/>
      <c r="H11" s="203"/>
    </row>
    <row r="12" spans="1:8">
      <c r="A12" s="481" t="s">
        <v>132</v>
      </c>
      <c r="B12" s="4"/>
      <c r="C12" s="2"/>
      <c r="D12" s="473">
        <v>131.01900000000001</v>
      </c>
      <c r="E12" s="473">
        <f>HLOOKUP(E$2,'Repayment Inputs'!$C$4:$D$11,8,FALSE)</f>
        <v>223.274</v>
      </c>
      <c r="F12" s="214">
        <f>HLOOKUP(F$2,'Repayment Inputs'!$C$4:$D$11,8,FALSE)</f>
        <v>959.23500000000001</v>
      </c>
      <c r="G12" s="203"/>
      <c r="H12" s="203"/>
    </row>
    <row r="13" spans="1:8" ht="15.75" thickBot="1">
      <c r="A13" s="384"/>
      <c r="B13" s="276"/>
      <c r="C13" s="276"/>
      <c r="D13" s="476"/>
      <c r="E13" s="476"/>
      <c r="F13" s="477"/>
      <c r="G13" s="203"/>
      <c r="H13" s="203"/>
    </row>
    <row r="14" spans="1:8" ht="15.75" thickBot="1">
      <c r="A14" s="408" t="s">
        <v>381</v>
      </c>
      <c r="B14" s="409"/>
      <c r="C14" s="409"/>
      <c r="D14" s="478"/>
      <c r="E14" s="478"/>
      <c r="F14" s="434"/>
      <c r="G14" s="203"/>
      <c r="H14" s="203"/>
    </row>
    <row r="15" spans="1:8">
      <c r="A15" s="468" t="s">
        <v>127</v>
      </c>
      <c r="B15" s="465"/>
      <c r="C15" s="465"/>
      <c r="D15" s="469">
        <v>73000</v>
      </c>
      <c r="E15" s="469">
        <f>D16</f>
        <v>63000</v>
      </c>
      <c r="F15" s="333">
        <f>E16</f>
        <v>40000</v>
      </c>
      <c r="G15" s="203"/>
      <c r="H15" s="203"/>
    </row>
    <row r="16" spans="1:8">
      <c r="A16" s="267" t="s">
        <v>128</v>
      </c>
      <c r="B16" s="2"/>
      <c r="C16" s="215"/>
      <c r="D16" s="456">
        <f>D17</f>
        <v>63000</v>
      </c>
      <c r="E16" s="473">
        <v>40000</v>
      </c>
      <c r="F16" s="214">
        <f>E16</f>
        <v>40000</v>
      </c>
      <c r="G16" s="203"/>
      <c r="H16" s="203"/>
    </row>
    <row r="17" spans="1:8" s="7" customFormat="1">
      <c r="A17" s="267" t="s">
        <v>202</v>
      </c>
      <c r="B17" s="2"/>
      <c r="C17" s="215"/>
      <c r="D17" s="456">
        <v>63000</v>
      </c>
      <c r="E17" s="456"/>
      <c r="F17" s="214"/>
      <c r="G17" s="203"/>
      <c r="H17" s="203"/>
    </row>
    <row r="18" spans="1:8">
      <c r="A18" s="267" t="s">
        <v>129</v>
      </c>
      <c r="B18" s="2"/>
      <c r="C18" s="199"/>
      <c r="D18" s="473">
        <f>ROUND((D16+D15)*0.5,0)</f>
        <v>68000</v>
      </c>
      <c r="E18" s="473">
        <f>ROUND((E16+E15)*0.5,0)</f>
        <v>51500</v>
      </c>
      <c r="F18" s="214">
        <f t="shared" ref="F18" si="3">ROUND((F16+F15)*0.5,0)</f>
        <v>40000</v>
      </c>
      <c r="G18" s="203"/>
      <c r="H18" s="203"/>
    </row>
    <row r="19" spans="1:8">
      <c r="A19" s="481" t="s">
        <v>382</v>
      </c>
      <c r="B19" s="2"/>
      <c r="C19" s="198"/>
      <c r="D19" s="456">
        <f>D18*D10</f>
        <v>116.96</v>
      </c>
      <c r="E19" s="456">
        <f>E18*E10</f>
        <v>229.69000000000003</v>
      </c>
      <c r="F19" s="226">
        <f t="shared" ref="F19" si="4">F18*F10</f>
        <v>265.2</v>
      </c>
      <c r="G19" s="203"/>
      <c r="H19" s="203"/>
    </row>
    <row r="20" spans="1:8">
      <c r="A20" s="267" t="s">
        <v>133</v>
      </c>
      <c r="B20" s="2"/>
      <c r="C20" s="199"/>
      <c r="D20" s="473">
        <v>200</v>
      </c>
      <c r="E20" s="473">
        <v>200</v>
      </c>
      <c r="F20" s="214">
        <v>200</v>
      </c>
      <c r="G20" s="203"/>
      <c r="H20" s="203"/>
    </row>
    <row r="21" spans="1:8" ht="15.75" thickBot="1">
      <c r="A21" s="383"/>
      <c r="B21" s="2"/>
      <c r="C21" s="2"/>
      <c r="D21" s="479"/>
      <c r="E21" s="479"/>
      <c r="F21" s="211"/>
      <c r="G21" s="203"/>
      <c r="H21" s="203"/>
    </row>
    <row r="22" spans="1:8" ht="15.75" thickBot="1">
      <c r="A22" s="408" t="s">
        <v>134</v>
      </c>
      <c r="B22" s="409"/>
      <c r="C22" s="409"/>
      <c r="D22" s="480">
        <f>D11+D12+D19+D20</f>
        <v>1175.539</v>
      </c>
      <c r="E22" s="480">
        <f>E11+E12+E19+E20</f>
        <v>2412.4340000000002</v>
      </c>
      <c r="F22" s="442">
        <f t="shared" ref="F22" si="5">F11+F12+F19+F20</f>
        <v>3940.52</v>
      </c>
      <c r="G22" s="203"/>
      <c r="H22" s="203"/>
    </row>
    <row r="23" spans="1:8">
      <c r="D23" s="203"/>
      <c r="E23" s="203"/>
      <c r="F23" s="203"/>
      <c r="G23" s="203"/>
      <c r="H23" s="203"/>
    </row>
    <row r="24" spans="1:8">
      <c r="D24" s="203"/>
      <c r="E24" s="203"/>
      <c r="F24" s="203"/>
      <c r="G24" s="203"/>
      <c r="H24" s="203"/>
    </row>
    <row r="25" spans="1:8">
      <c r="D25" s="203"/>
      <c r="E25" s="203"/>
      <c r="F25" s="203"/>
      <c r="G25" s="203"/>
      <c r="H25" s="203"/>
    </row>
    <row r="26" spans="1:8">
      <c r="D26" s="203"/>
      <c r="E26" s="203"/>
      <c r="F26" s="203"/>
      <c r="G26" s="203"/>
      <c r="H26" s="203"/>
    </row>
  </sheetData>
  <customSheetViews>
    <customSheetView guid="{2226E858-00AE-4A92-8CF6-5B54D2FA62D4}" showPageBreaks="1">
      <selection activeCell="E19" sqref="E19"/>
      <pageMargins left="0.7" right="0.7" top="0.75" bottom="0.75" header="0.3" footer="0.3"/>
      <pageSetup orientation="portrait" r:id="rId1"/>
    </customSheetView>
  </customSheetViews>
  <mergeCells count="1">
    <mergeCell ref="A1:F1"/>
  </mergeCells>
  <pageMargins left="0.7" right="0.7" top="0.75" bottom="0.75" header="0.3" footer="0.3"/>
  <pageSetup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H31"/>
  <sheetViews>
    <sheetView workbookViewId="0">
      <selection activeCell="I1" sqref="I1"/>
    </sheetView>
  </sheetViews>
  <sheetFormatPr defaultRowHeight="15"/>
  <cols>
    <col min="1" max="1" width="8.5703125" style="7" customWidth="1"/>
    <col min="2" max="2" width="9.140625" style="7"/>
    <col min="3" max="3" width="50.5703125" style="7" customWidth="1"/>
    <col min="4" max="5" width="15.7109375" style="7" customWidth="1"/>
    <col min="6" max="6" width="12" style="7" bestFit="1" customWidth="1"/>
    <col min="7" max="7" width="10.28515625" style="7" bestFit="1" customWidth="1"/>
    <col min="8" max="8" width="9.5703125" style="189" customWidth="1"/>
    <col min="9" max="16384" width="9.140625" style="7"/>
  </cols>
  <sheetData>
    <row r="1" spans="1:8" ht="19.5" thickBot="1">
      <c r="A1" s="684" t="s">
        <v>426</v>
      </c>
      <c r="B1" s="685"/>
      <c r="C1" s="685"/>
      <c r="D1" s="685"/>
      <c r="E1" s="686"/>
    </row>
    <row r="2" spans="1:8">
      <c r="A2" s="201"/>
      <c r="B2" s="202"/>
      <c r="C2" s="202"/>
      <c r="D2" s="484" t="s">
        <v>256</v>
      </c>
      <c r="E2" s="485" t="s">
        <v>257</v>
      </c>
      <c r="H2" s="7"/>
    </row>
    <row r="3" spans="1:8">
      <c r="A3" s="385"/>
      <c r="B3" s="483"/>
      <c r="C3" s="483"/>
      <c r="D3" s="482" t="s">
        <v>258</v>
      </c>
      <c r="E3" s="486" t="s">
        <v>259</v>
      </c>
      <c r="H3" s="7"/>
    </row>
    <row r="4" spans="1:8" ht="15.75" thickBot="1">
      <c r="A4" s="487"/>
      <c r="B4" s="463"/>
      <c r="C4" s="463"/>
      <c r="D4" s="488" t="s">
        <v>260</v>
      </c>
      <c r="E4" s="489" t="s">
        <v>261</v>
      </c>
      <c r="H4" s="7"/>
    </row>
    <row r="5" spans="1:8" s="189" customFormat="1" ht="15.75" thickBot="1">
      <c r="A5" s="490"/>
      <c r="B5" s="491">
        <v>2018</v>
      </c>
      <c r="C5" s="492"/>
      <c r="D5" s="438"/>
      <c r="E5" s="493"/>
    </row>
    <row r="6" spans="1:8" s="189" customFormat="1">
      <c r="A6" s="494"/>
      <c r="B6" s="465" t="s">
        <v>262</v>
      </c>
      <c r="C6" s="495"/>
      <c r="D6" s="298">
        <f>E6</f>
        <v>69879.379999999976</v>
      </c>
      <c r="E6" s="320">
        <f>SUM((HLOOKUP($B5,'Expense Input File'!$A$12:$E$44,3,FALSE)),(HLOOKUP($B5,'Expense Input File'!$A$12:$E$44,4,FALSE)),(HLOOKUP($B5,'Expense Input File'!$A$12:$E$44,5,FALSE)),(HLOOKUP($B5,'Expense Input File'!$A$12:$E$44,6,FALSE)),(HLOOKUP($B5,'Expense Input File'!$A$12:$E$44,24,FALSE)),(HLOOKUP($B5,'Expense Input File'!$A$12:$E$44,25,FALSE)),(HLOOKUP($B5,'Expense Input File'!$A$12:$E$44,26,FALSE)),(HLOOKUP($B5,'Expense Input File'!$A$12:$E$44,27,FALSE)),(HLOOKUP($B5,'Expense Input File'!$A$12:$E$44,28,FALSE)))-(HLOOKUP($B5,'Expense Input File'!$A$12:$E$44,8,FALSE))-(HLOOKUP($B5,'Expense Input File'!$A$12:$E$44,33,FALSE))</f>
        <v>69879.379999999976</v>
      </c>
      <c r="F6" s="203"/>
      <c r="G6" s="203"/>
    </row>
    <row r="7" spans="1:8" s="189" customFormat="1">
      <c r="A7" s="383"/>
      <c r="B7" s="2" t="s">
        <v>296</v>
      </c>
      <c r="C7" s="1"/>
      <c r="D7" s="215">
        <f>SUM('18 Seg Dev'!$K$41:$K$44)</f>
        <v>58992.803024208071</v>
      </c>
      <c r="E7" s="214">
        <f>D7</f>
        <v>58992.803024208071</v>
      </c>
      <c r="F7" s="203"/>
      <c r="G7" s="203"/>
    </row>
    <row r="8" spans="1:8" s="189" customFormat="1">
      <c r="A8" s="383"/>
      <c r="B8" s="2" t="s">
        <v>292</v>
      </c>
      <c r="C8" s="186"/>
      <c r="D8" s="215">
        <f>SUM('18 Seg Dev'!$K$57,'18 Seg Dev'!$K$59:$K$60)</f>
        <v>5190.4303321587922</v>
      </c>
      <c r="E8" s="214">
        <f>D8-(HLOOKUP(B5,'Expense Input File'!$A$45:$E$67,23,FALSE))</f>
        <v>5190.4303321587922</v>
      </c>
      <c r="F8" s="203"/>
      <c r="G8" s="203"/>
    </row>
    <row r="9" spans="1:8" s="196" customFormat="1">
      <c r="A9" s="380"/>
      <c r="B9" s="496" t="s">
        <v>263</v>
      </c>
      <c r="C9" s="1"/>
      <c r="D9" s="362">
        <f>SUM(D6:D8)</f>
        <v>134062.61335636684</v>
      </c>
      <c r="E9" s="363">
        <f>SUM(E6:E8)</f>
        <v>134062.61335636684</v>
      </c>
      <c r="F9" s="507"/>
      <c r="G9" s="507"/>
    </row>
    <row r="10" spans="1:8" s="189" customFormat="1">
      <c r="A10" s="497"/>
      <c r="B10" s="2" t="s">
        <v>264</v>
      </c>
      <c r="C10" s="186"/>
      <c r="D10" s="215">
        <f>HLOOKUP(B5,'Expense Input File'!$A$45:$E$66,2,FALSE)</f>
        <v>95479.665827999997</v>
      </c>
      <c r="E10" s="214">
        <v>0</v>
      </c>
      <c r="F10" s="203"/>
      <c r="G10" s="203"/>
    </row>
    <row r="11" spans="1:8" s="189" customFormat="1">
      <c r="A11" s="498"/>
      <c r="B11" s="4" t="s">
        <v>201</v>
      </c>
      <c r="C11" s="1"/>
      <c r="D11" s="224">
        <f>E11</f>
        <v>32525.139150683321</v>
      </c>
      <c r="E11" s="226">
        <f>'18 Seg Dev'!$K$23</f>
        <v>32525.139150683321</v>
      </c>
      <c r="F11" s="203"/>
      <c r="G11" s="203"/>
    </row>
    <row r="12" spans="1:8" s="189" customFormat="1">
      <c r="A12" s="499"/>
      <c r="B12" s="2" t="s">
        <v>265</v>
      </c>
      <c r="C12" s="186"/>
      <c r="D12" s="224">
        <f>E12</f>
        <v>3923.8460515262277</v>
      </c>
      <c r="E12" s="214">
        <f>'18 Seg Dev'!$K$11</f>
        <v>3923.8460515262277</v>
      </c>
      <c r="F12" s="203"/>
      <c r="G12" s="203"/>
    </row>
    <row r="13" spans="1:8" s="189" customFormat="1">
      <c r="A13" s="383"/>
      <c r="B13" s="2" t="s">
        <v>266</v>
      </c>
      <c r="C13" s="186"/>
      <c r="D13" s="224">
        <f>E13</f>
        <v>104.85059108225209</v>
      </c>
      <c r="E13" s="214">
        <f>'18 Seg Dev'!$K$18</f>
        <v>104.85059108225209</v>
      </c>
      <c r="F13" s="203"/>
      <c r="G13" s="203"/>
    </row>
    <row r="14" spans="1:8" s="196" customFormat="1">
      <c r="A14" s="380"/>
      <c r="B14" s="500" t="s">
        <v>81</v>
      </c>
      <c r="C14" s="1"/>
      <c r="D14" s="249">
        <f>SUM(D9:D13)</f>
        <v>266096.11497765867</v>
      </c>
      <c r="E14" s="503">
        <f>SUM(E9:E13)</f>
        <v>170616.44914965864</v>
      </c>
      <c r="F14" s="507"/>
      <c r="G14" s="507"/>
    </row>
    <row r="15" spans="1:8" s="189" customFormat="1" ht="15.75" thickBot="1">
      <c r="A15" s="384"/>
      <c r="B15" s="276"/>
      <c r="C15" s="276"/>
      <c r="D15" s="258"/>
      <c r="E15" s="477"/>
      <c r="F15" s="203"/>
      <c r="G15" s="203"/>
    </row>
    <row r="16" spans="1:8" ht="15.75" thickBot="1">
      <c r="A16" s="490"/>
      <c r="B16" s="439">
        <v>2019</v>
      </c>
      <c r="C16" s="439"/>
      <c r="D16" s="504"/>
      <c r="E16" s="434"/>
      <c r="F16" s="203"/>
      <c r="G16" s="203"/>
      <c r="H16" s="7"/>
    </row>
    <row r="17" spans="1:8">
      <c r="A17" s="494"/>
      <c r="B17" s="465" t="s">
        <v>262</v>
      </c>
      <c r="C17" s="501"/>
      <c r="D17" s="298">
        <f>E17</f>
        <v>71472.781000000003</v>
      </c>
      <c r="E17" s="320">
        <f>SUM((HLOOKUP($B16,'Expense Input File'!$A$12:$E$44,3,FALSE)),(HLOOKUP($B16,'Expense Input File'!$A$12:$E$44,4,FALSE)),(HLOOKUP($B16,'Expense Input File'!$A$12:$E$44,5,FALSE)),(HLOOKUP($B16,'Expense Input File'!$A$12:$E$44,6,FALSE)),(HLOOKUP($B16,'Expense Input File'!$A$12:$E$44,24,FALSE)),(HLOOKUP($B16,'Expense Input File'!$A$12:$E$44,25,FALSE)),(HLOOKUP($B16,'Expense Input File'!$A$12:$E$44,26,FALSE)),(HLOOKUP($B16,'Expense Input File'!$A$12:$E$44,27,FALSE)),(HLOOKUP($B16,'Expense Input File'!$A$12:$E$44,28,FALSE)))-(HLOOKUP($B16,'Expense Input File'!$A$12:$E$44,8,FALSE))-(HLOOKUP($B16,'Expense Input File'!$A$12:$E$44,33,FALSE))</f>
        <v>71472.781000000003</v>
      </c>
      <c r="F17" s="203"/>
      <c r="G17" s="203"/>
      <c r="H17" s="7"/>
    </row>
    <row r="18" spans="1:8">
      <c r="A18" s="383"/>
      <c r="B18" s="2" t="s">
        <v>296</v>
      </c>
      <c r="C18" s="5"/>
      <c r="D18" s="215">
        <f>SUM('19 Seg Dev'!$K$41:$K$44)</f>
        <v>59744.607189359624</v>
      </c>
      <c r="E18" s="214">
        <f>D18</f>
        <v>59744.607189359624</v>
      </c>
      <c r="F18" s="203"/>
      <c r="G18" s="203"/>
      <c r="H18" s="7"/>
    </row>
    <row r="19" spans="1:8">
      <c r="A19" s="383"/>
      <c r="B19" s="2" t="s">
        <v>292</v>
      </c>
      <c r="C19" s="2"/>
      <c r="D19" s="215">
        <f>SUM('19 Seg Dev'!$K$57,'19 Seg Dev'!$K$59:$K$60)</f>
        <v>5190.6781524284152</v>
      </c>
      <c r="E19" s="214">
        <f>D19-(HLOOKUP(B16,'Expense Input File'!$A$45:$E$67,23,FALSE))</f>
        <v>5190.6781524284152</v>
      </c>
      <c r="F19" s="203"/>
      <c r="G19" s="203"/>
      <c r="H19" s="7"/>
    </row>
    <row r="20" spans="1:8" s="196" customFormat="1">
      <c r="A20" s="380"/>
      <c r="B20" s="496" t="s">
        <v>263</v>
      </c>
      <c r="C20" s="5"/>
      <c r="D20" s="362">
        <f>SUM(D17:D19)</f>
        <v>136408.06634178804</v>
      </c>
      <c r="E20" s="363">
        <f>SUM(E17:E19)</f>
        <v>136408.06634178804</v>
      </c>
      <c r="F20" s="507"/>
      <c r="G20" s="507"/>
    </row>
    <row r="21" spans="1:8">
      <c r="A21" s="497"/>
      <c r="B21" s="2" t="s">
        <v>264</v>
      </c>
      <c r="C21" s="2"/>
      <c r="D21" s="215">
        <f>HLOOKUP(B16,'Expense Input File'!$A$45:$E$66,2,FALSE)</f>
        <v>88569.485113999996</v>
      </c>
      <c r="E21" s="214">
        <v>0</v>
      </c>
      <c r="F21" s="203"/>
      <c r="G21" s="203"/>
      <c r="H21" s="7"/>
    </row>
    <row r="22" spans="1:8">
      <c r="A22" s="498"/>
      <c r="B22" s="4" t="s">
        <v>201</v>
      </c>
      <c r="C22" s="5"/>
      <c r="D22" s="224">
        <f>E22</f>
        <v>34362.321349094709</v>
      </c>
      <c r="E22" s="226">
        <f>'19 Seg Dev'!$K$23</f>
        <v>34362.321349094709</v>
      </c>
      <c r="F22" s="203"/>
      <c r="G22" s="203"/>
      <c r="H22" s="7"/>
    </row>
    <row r="23" spans="1:8">
      <c r="A23" s="499"/>
      <c r="B23" s="2" t="s">
        <v>265</v>
      </c>
      <c r="C23" s="2"/>
      <c r="D23" s="224">
        <f>E23</f>
        <v>4774.4722259703012</v>
      </c>
      <c r="E23" s="214">
        <f>'19 Seg Dev'!$K$11</f>
        <v>4774.4722259703012</v>
      </c>
      <c r="F23" s="203"/>
      <c r="G23" s="203"/>
      <c r="H23" s="7"/>
    </row>
    <row r="24" spans="1:8">
      <c r="A24" s="383"/>
      <c r="B24" s="2" t="s">
        <v>266</v>
      </c>
      <c r="C24" s="2"/>
      <c r="D24" s="224">
        <f>E24</f>
        <v>-57.834802368186445</v>
      </c>
      <c r="E24" s="214">
        <f>'19 Seg Dev'!$K$18</f>
        <v>-57.834802368186445</v>
      </c>
      <c r="F24" s="203"/>
      <c r="G24" s="203"/>
      <c r="H24" s="7"/>
    </row>
    <row r="25" spans="1:8" s="196" customFormat="1" ht="15.75" thickBot="1">
      <c r="A25" s="470"/>
      <c r="B25" s="502" t="s">
        <v>81</v>
      </c>
      <c r="C25" s="510"/>
      <c r="D25" s="505">
        <f>SUM(D20:D24)</f>
        <v>264056.51022848487</v>
      </c>
      <c r="E25" s="506">
        <f>SUM(E20:E24)</f>
        <v>175487.02511448486</v>
      </c>
      <c r="F25" s="507"/>
      <c r="G25" s="507"/>
    </row>
    <row r="26" spans="1:8">
      <c r="D26" s="203"/>
      <c r="E26" s="203"/>
      <c r="F26" s="203"/>
      <c r="G26" s="203"/>
      <c r="H26" s="7"/>
    </row>
    <row r="27" spans="1:8">
      <c r="D27" s="203"/>
      <c r="E27" s="203"/>
      <c r="F27" s="203"/>
      <c r="G27" s="203"/>
      <c r="H27" s="7"/>
    </row>
    <row r="28" spans="1:8">
      <c r="D28" s="203"/>
      <c r="E28" s="203"/>
      <c r="F28" s="203"/>
      <c r="G28" s="203"/>
      <c r="H28" s="7"/>
    </row>
    <row r="29" spans="1:8">
      <c r="H29" s="7"/>
    </row>
    <row r="30" spans="1:8">
      <c r="H30" s="7"/>
    </row>
    <row r="31" spans="1:8">
      <c r="H31" s="7"/>
    </row>
  </sheetData>
  <customSheetViews>
    <customSheetView guid="{2226E858-00AE-4A92-8CF6-5B54D2FA62D4}" showPageBreaks="1" fitToPage="1">
      <selection activeCell="E21" sqref="E21"/>
      <pageMargins left="0.7" right="0.7" top="0.75" bottom="0.75" header="0.3" footer="0.3"/>
      <pageSetup scale="26" orientation="portrait" r:id="rId1"/>
    </customSheetView>
  </customSheetViews>
  <mergeCells count="1">
    <mergeCell ref="A1:E1"/>
  </mergeCells>
  <pageMargins left="0.7" right="0.7" top="0.75" bottom="0.75" header="0.3" footer="0.3"/>
  <pageSetup scale="26"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Q65"/>
  <sheetViews>
    <sheetView workbookViewId="0">
      <selection activeCell="Q1" sqref="Q1"/>
    </sheetView>
  </sheetViews>
  <sheetFormatPr defaultRowHeight="15"/>
  <cols>
    <col min="1" max="2" width="9.140625" style="7"/>
    <col min="3" max="3" width="29.28515625" style="7" customWidth="1"/>
    <col min="4" max="11" width="15.7109375" style="7" customWidth="1"/>
    <col min="12" max="16384" width="9.140625" style="7"/>
  </cols>
  <sheetData>
    <row r="1" spans="1:12" ht="18.75" thickBot="1">
      <c r="A1" s="687" t="s">
        <v>427</v>
      </c>
      <c r="B1" s="688"/>
      <c r="C1" s="688"/>
      <c r="D1" s="688"/>
      <c r="E1" s="688"/>
      <c r="F1" s="688"/>
      <c r="G1" s="688"/>
      <c r="H1" s="688"/>
      <c r="I1" s="688"/>
      <c r="J1" s="688"/>
      <c r="K1" s="689"/>
    </row>
    <row r="2" spans="1:12" ht="29.25" customHeight="1" thickBot="1">
      <c r="A2" s="654">
        <v>2018</v>
      </c>
      <c r="B2" s="655"/>
      <c r="C2" s="655"/>
      <c r="D2" s="538" t="s">
        <v>173</v>
      </c>
      <c r="E2" s="539" t="s">
        <v>174</v>
      </c>
      <c r="F2" s="539" t="s">
        <v>175</v>
      </c>
      <c r="G2" s="539" t="s">
        <v>176</v>
      </c>
      <c r="H2" s="539" t="s">
        <v>177</v>
      </c>
      <c r="I2" s="539" t="s">
        <v>178</v>
      </c>
      <c r="J2" s="539" t="s">
        <v>179</v>
      </c>
      <c r="K2" s="540" t="s">
        <v>180</v>
      </c>
      <c r="L2" s="3"/>
    </row>
    <row r="3" spans="1:12" ht="15.75" thickBot="1">
      <c r="A3" s="541" t="s">
        <v>273</v>
      </c>
      <c r="B3" s="539"/>
      <c r="C3" s="539"/>
      <c r="D3" s="539"/>
      <c r="E3" s="539"/>
      <c r="F3" s="539"/>
      <c r="G3" s="539"/>
      <c r="H3" s="539"/>
      <c r="I3" s="539"/>
      <c r="J3" s="539"/>
      <c r="K3" s="540"/>
      <c r="L3" s="3"/>
    </row>
    <row r="4" spans="1:12">
      <c r="A4" s="210" t="s">
        <v>181</v>
      </c>
      <c r="B4" s="245"/>
      <c r="C4" s="245"/>
      <c r="D4" s="215">
        <f>SUM(E4:K4)</f>
        <v>5802497.4563568141</v>
      </c>
      <c r="E4" s="215">
        <v>85596.112758282878</v>
      </c>
      <c r="F4" s="215">
        <v>4721525.1081065414</v>
      </c>
      <c r="G4" s="215">
        <v>731887.31628960941</v>
      </c>
      <c r="H4" s="215">
        <v>88058.768946171811</v>
      </c>
      <c r="I4" s="215">
        <v>10704.759422593121</v>
      </c>
      <c r="J4" s="215">
        <v>6504.6180569353528</v>
      </c>
      <c r="K4" s="214">
        <v>158220.77277668126</v>
      </c>
    </row>
    <row r="5" spans="1:12">
      <c r="A5" s="350" t="s">
        <v>252</v>
      </c>
      <c r="B5" s="114"/>
      <c r="C5" s="114"/>
      <c r="D5" s="521">
        <f>SUM(E5:K5)</f>
        <v>1.0000000000000002</v>
      </c>
      <c r="E5" s="522">
        <f>E4/D4</f>
        <v>1.4751598497386623E-2</v>
      </c>
      <c r="F5" s="522">
        <f>F4/D4</f>
        <v>0.81370567477525835</v>
      </c>
      <c r="G5" s="522">
        <f>G4/D4</f>
        <v>0.12613315590303351</v>
      </c>
      <c r="H5" s="522">
        <f>H4/D4</f>
        <v>1.5176011641280553E-2</v>
      </c>
      <c r="I5" s="522">
        <f>I4/D4</f>
        <v>1.8448537897876591E-3</v>
      </c>
      <c r="J5" s="522">
        <f>J4/D4</f>
        <v>1.121003172489002E-3</v>
      </c>
      <c r="K5" s="523">
        <f>K4/D4</f>
        <v>2.7267702220764533E-2</v>
      </c>
    </row>
    <row r="6" spans="1:12">
      <c r="A6" s="524" t="s">
        <v>68</v>
      </c>
      <c r="B6" s="114"/>
      <c r="C6" s="114"/>
      <c r="D6" s="114"/>
      <c r="E6" s="114"/>
      <c r="F6" s="114"/>
      <c r="G6" s="114"/>
      <c r="H6" s="114"/>
      <c r="I6" s="114"/>
      <c r="J6" s="114"/>
      <c r="K6" s="211"/>
    </row>
    <row r="7" spans="1:12">
      <c r="A7" s="210"/>
      <c r="B7" s="114" t="s">
        <v>185</v>
      </c>
      <c r="C7" s="114"/>
      <c r="D7" s="215">
        <f>SUM(E7:K7)</f>
        <v>4385.8461704836991</v>
      </c>
      <c r="E7" s="215"/>
      <c r="F7" s="215">
        <f>HLOOKUP($A$2,'Repayment Inputs'!$B$4:$D$26,19,FALSE)</f>
        <v>4369.3252804563845</v>
      </c>
      <c r="G7" s="215">
        <f>HLOOKUP($A$2,'Repayment Inputs'!$B$4:$D$26,20,FALSE)</f>
        <v>16.520890027314991</v>
      </c>
      <c r="H7" s="215"/>
      <c r="I7" s="215"/>
      <c r="J7" s="215"/>
      <c r="K7" s="214"/>
    </row>
    <row r="8" spans="1:12">
      <c r="A8" s="210"/>
      <c r="B8" s="114" t="s">
        <v>140</v>
      </c>
      <c r="C8" s="114"/>
      <c r="D8" s="215">
        <f>SUM(E8:K8)</f>
        <v>-61.233079475000004</v>
      </c>
      <c r="E8" s="215"/>
      <c r="F8" s="215">
        <f>-(HLOOKUP($A$2,AFUDC!$D$4:$F$29,25,FALSE))</f>
        <v>-61.233079475000004</v>
      </c>
      <c r="G8" s="215"/>
      <c r="H8" s="215"/>
      <c r="I8" s="215"/>
      <c r="J8" s="215"/>
      <c r="K8" s="214"/>
    </row>
    <row r="9" spans="1:12">
      <c r="A9" s="210"/>
      <c r="B9" s="114" t="s">
        <v>182</v>
      </c>
      <c r="C9" s="114"/>
      <c r="D9" s="215">
        <f>SUM(E9:K9)</f>
        <v>4324.6130910086995</v>
      </c>
      <c r="E9" s="215"/>
      <c r="F9" s="215">
        <f>SUM(F7:F8)</f>
        <v>4308.0922009813848</v>
      </c>
      <c r="G9" s="215">
        <f>SUM(G7:G8)</f>
        <v>16.520890027314991</v>
      </c>
      <c r="H9" s="215"/>
      <c r="I9" s="215"/>
      <c r="J9" s="215"/>
      <c r="K9" s="214"/>
    </row>
    <row r="10" spans="1:12">
      <c r="A10" s="525" t="s">
        <v>183</v>
      </c>
      <c r="B10" s="114"/>
      <c r="C10" s="114"/>
      <c r="D10" s="215">
        <f>HLOOKUP($A$2,'Revenue Requirement'!$A$3:$G$27,25,FALSE)-$D$9</f>
        <v>143900.86923195873</v>
      </c>
      <c r="E10" s="215">
        <f>D10*E5</f>
        <v>2122.7678463347911</v>
      </c>
      <c r="F10" s="215">
        <f>D10*F5</f>
        <v>117092.9538991372</v>
      </c>
      <c r="G10" s="215">
        <f>D10*G5</f>
        <v>18150.670773416688</v>
      </c>
      <c r="H10" s="215">
        <f>D10*H5</f>
        <v>2183.841266654596</v>
      </c>
      <c r="I10" s="215">
        <f>D10*I5</f>
        <v>265.47606395631743</v>
      </c>
      <c r="J10" s="215">
        <f>D10*J5</f>
        <v>161.31333093295075</v>
      </c>
      <c r="K10" s="214">
        <f>D10*K5</f>
        <v>3923.8460515262277</v>
      </c>
    </row>
    <row r="11" spans="1:12">
      <c r="A11" s="526" t="s">
        <v>184</v>
      </c>
      <c r="B11" s="245"/>
      <c r="C11" s="245"/>
      <c r="D11" s="249">
        <f t="shared" ref="D11:K11" si="0">D10+D9</f>
        <v>148225.48232296744</v>
      </c>
      <c r="E11" s="249">
        <f t="shared" si="0"/>
        <v>2122.7678463347911</v>
      </c>
      <c r="F11" s="249">
        <f t="shared" si="0"/>
        <v>121401.04610011858</v>
      </c>
      <c r="G11" s="249">
        <f t="shared" si="0"/>
        <v>18167.191663444002</v>
      </c>
      <c r="H11" s="249">
        <f t="shared" si="0"/>
        <v>2183.841266654596</v>
      </c>
      <c r="I11" s="249">
        <f t="shared" si="0"/>
        <v>265.47606395631743</v>
      </c>
      <c r="J11" s="249">
        <f t="shared" si="0"/>
        <v>161.31333093295075</v>
      </c>
      <c r="K11" s="503">
        <f t="shared" si="0"/>
        <v>3923.8460515262277</v>
      </c>
    </row>
    <row r="12" spans="1:12">
      <c r="A12" s="524" t="s">
        <v>191</v>
      </c>
      <c r="B12" s="114"/>
      <c r="C12" s="114"/>
      <c r="D12" s="114"/>
      <c r="E12" s="114"/>
      <c r="F12" s="114"/>
      <c r="G12" s="114"/>
      <c r="H12" s="114"/>
      <c r="I12" s="114"/>
      <c r="J12" s="114"/>
      <c r="K12" s="211"/>
    </row>
    <row r="13" spans="1:12">
      <c r="A13" s="210"/>
      <c r="B13" s="114" t="s">
        <v>192</v>
      </c>
      <c r="C13" s="114"/>
      <c r="D13" s="114"/>
      <c r="E13" s="114"/>
      <c r="F13" s="215">
        <f>HLOOKUP($A$2,'Repayment Inputs'!$A$4:$D$45,38,FALSE)</f>
        <v>14904.017888325026</v>
      </c>
      <c r="G13" s="215">
        <f>HLOOKUP($A$2,'Repayment Inputs'!$A$4:$D$45,39,FALSE)</f>
        <v>2352.3933192940153</v>
      </c>
      <c r="H13" s="114"/>
      <c r="I13" s="114"/>
      <c r="J13" s="114"/>
      <c r="K13" s="211"/>
    </row>
    <row r="14" spans="1:12">
      <c r="A14" s="210"/>
      <c r="B14" s="114" t="s">
        <v>182</v>
      </c>
      <c r="C14" s="114"/>
      <c r="D14" s="114"/>
      <c r="E14" s="114"/>
      <c r="F14" s="224">
        <f>F9</f>
        <v>4308.0922009813848</v>
      </c>
      <c r="G14" s="224">
        <f>G9</f>
        <v>16.520890027314991</v>
      </c>
      <c r="H14" s="114"/>
      <c r="I14" s="114"/>
      <c r="J14" s="114"/>
      <c r="K14" s="211"/>
    </row>
    <row r="15" spans="1:12">
      <c r="A15" s="210"/>
      <c r="B15" s="114" t="s">
        <v>193</v>
      </c>
      <c r="C15" s="114"/>
      <c r="D15" s="114"/>
      <c r="E15" s="114"/>
      <c r="F15" s="527">
        <v>7870.5196435313019</v>
      </c>
      <c r="G15" s="527">
        <v>280.253244</v>
      </c>
      <c r="H15" s="114"/>
      <c r="I15" s="114"/>
      <c r="J15" s="114"/>
      <c r="K15" s="211"/>
    </row>
    <row r="16" spans="1:12">
      <c r="A16" s="210"/>
      <c r="B16" s="114" t="s">
        <v>194</v>
      </c>
      <c r="C16" s="114"/>
      <c r="D16" s="224">
        <f>F16+G16</f>
        <v>4781.0252290790413</v>
      </c>
      <c r="E16" s="114"/>
      <c r="F16" s="224">
        <f>F13-F14-F15</f>
        <v>2725.4060438123406</v>
      </c>
      <c r="G16" s="224">
        <f>G13-G14-G15</f>
        <v>2055.6191852667002</v>
      </c>
      <c r="H16" s="114"/>
      <c r="I16" s="114"/>
      <c r="J16" s="114"/>
      <c r="K16" s="211"/>
    </row>
    <row r="17" spans="1:12">
      <c r="A17" s="358" t="s">
        <v>196</v>
      </c>
      <c r="B17" s="114"/>
      <c r="C17" s="114"/>
      <c r="D17" s="224">
        <f>HLOOKUP($A$2,'Revenue Requirement'!$A$3:$G$33,31,FALSE)-$D$16</f>
        <v>3845.2301639999459</v>
      </c>
      <c r="E17" s="215">
        <f>D17*E5</f>
        <v>56.723291509367321</v>
      </c>
      <c r="F17" s="215">
        <f>D17*F5</f>
        <v>3128.8856052637534</v>
      </c>
      <c r="G17" s="215">
        <f>D17*G5</f>
        <v>485.0110157588523</v>
      </c>
      <c r="H17" s="215">
        <f>D17*H5</f>
        <v>58.35525773226631</v>
      </c>
      <c r="I17" s="215">
        <f>D17*I5</f>
        <v>7.0938874406611223</v>
      </c>
      <c r="J17" s="215">
        <f>D17*J5</f>
        <v>4.3105152127943445</v>
      </c>
      <c r="K17" s="214">
        <f>D17*K5</f>
        <v>104.85059108225209</v>
      </c>
    </row>
    <row r="18" spans="1:12">
      <c r="A18" s="526" t="s">
        <v>195</v>
      </c>
      <c r="B18" s="114"/>
      <c r="C18" s="114"/>
      <c r="D18" s="249">
        <f>D17+D16</f>
        <v>8626.2553930789873</v>
      </c>
      <c r="E18" s="249">
        <f t="shared" ref="E18:K18" si="1">E17+E16</f>
        <v>56.723291509367321</v>
      </c>
      <c r="F18" s="249">
        <f t="shared" si="1"/>
        <v>5854.2916490760945</v>
      </c>
      <c r="G18" s="249">
        <f t="shared" si="1"/>
        <v>2540.6302010255527</v>
      </c>
      <c r="H18" s="249">
        <f t="shared" si="1"/>
        <v>58.35525773226631</v>
      </c>
      <c r="I18" s="249">
        <f t="shared" si="1"/>
        <v>7.0938874406611223</v>
      </c>
      <c r="J18" s="249">
        <f t="shared" si="1"/>
        <v>4.3105152127943445</v>
      </c>
      <c r="K18" s="503">
        <f t="shared" si="1"/>
        <v>104.85059108225209</v>
      </c>
    </row>
    <row r="19" spans="1:12">
      <c r="A19" s="524" t="s">
        <v>201</v>
      </c>
      <c r="B19" s="114"/>
      <c r="C19" s="114"/>
      <c r="D19" s="249"/>
      <c r="E19" s="249"/>
      <c r="F19" s="249"/>
      <c r="G19" s="249"/>
      <c r="H19" s="249"/>
      <c r="I19" s="249"/>
      <c r="J19" s="249"/>
      <c r="K19" s="503"/>
    </row>
    <row r="20" spans="1:12">
      <c r="A20" s="528" t="s">
        <v>197</v>
      </c>
      <c r="B20" s="114"/>
      <c r="C20" s="114"/>
      <c r="D20" s="215">
        <f>SUM(E20:K20)</f>
        <v>189614.552046</v>
      </c>
      <c r="E20" s="527">
        <v>2439</v>
      </c>
      <c r="F20" s="527">
        <v>147452.552046</v>
      </c>
      <c r="G20" s="527">
        <v>23256</v>
      </c>
      <c r="H20" s="527">
        <v>2748</v>
      </c>
      <c r="I20" s="527">
        <v>299</v>
      </c>
      <c r="J20" s="527">
        <v>181</v>
      </c>
      <c r="K20" s="529">
        <v>13239</v>
      </c>
    </row>
    <row r="21" spans="1:12">
      <c r="A21" s="528" t="s">
        <v>198</v>
      </c>
      <c r="B21" s="114"/>
      <c r="C21" s="114"/>
      <c r="D21" s="530">
        <f>SUM(E21:K21)</f>
        <v>1</v>
      </c>
      <c r="E21" s="531">
        <f>E39/D39</f>
        <v>1.4578945428284465E-2</v>
      </c>
      <c r="F21" s="531">
        <f>F39/D39</f>
        <v>0.63094494518543998</v>
      </c>
      <c r="G21" s="531">
        <f>G39/D39</f>
        <v>8.1683970685562643E-2</v>
      </c>
      <c r="H21" s="531">
        <f>H39/D39</f>
        <v>1.1294966693265589E-2</v>
      </c>
      <c r="I21" s="531">
        <f>I39/D39</f>
        <v>3.5302886368101787E-3</v>
      </c>
      <c r="J21" s="531">
        <f>J39/D39</f>
        <v>2.1777731871460339E-3</v>
      </c>
      <c r="K21" s="532">
        <f>K39/D39</f>
        <v>0.2557891101834911</v>
      </c>
    </row>
    <row r="22" spans="1:12">
      <c r="A22" s="528" t="s">
        <v>199</v>
      </c>
      <c r="B22" s="114"/>
      <c r="C22" s="114"/>
      <c r="D22" s="215">
        <v>75398.593540000002</v>
      </c>
      <c r="E22" s="215">
        <f>D22*E21</f>
        <v>1099.2319805890615</v>
      </c>
      <c r="F22" s="215">
        <f>D22*F21</f>
        <v>47572.361468154573</v>
      </c>
      <c r="G22" s="215">
        <f>D22*G21</f>
        <v>6158.8565044540128</v>
      </c>
      <c r="H22" s="215">
        <f>D22*H21</f>
        <v>851.62460275337003</v>
      </c>
      <c r="I22" s="215">
        <f>D22*I21</f>
        <v>266.17879800573138</v>
      </c>
      <c r="J22" s="215">
        <f>D22*J21</f>
        <v>164.20103535993417</v>
      </c>
      <c r="K22" s="214">
        <f>D22*K21</f>
        <v>19286.139150683321</v>
      </c>
    </row>
    <row r="23" spans="1:12">
      <c r="A23" s="526" t="s">
        <v>200</v>
      </c>
      <c r="B23" s="114"/>
      <c r="C23" s="114"/>
      <c r="D23" s="249">
        <f>SUM(E23:K23)</f>
        <v>273163.91847353132</v>
      </c>
      <c r="E23" s="249">
        <f>E22+E20</f>
        <v>3538.2319805890615</v>
      </c>
      <c r="F23" s="249">
        <f>F22+F20+F15</f>
        <v>202895.43315768585</v>
      </c>
      <c r="G23" s="249">
        <f>G22+G20+G15</f>
        <v>29695.109748454011</v>
      </c>
      <c r="H23" s="249">
        <f t="shared" ref="H23:K23" si="2">H22+H20</f>
        <v>3599.6246027533698</v>
      </c>
      <c r="I23" s="249">
        <f t="shared" si="2"/>
        <v>565.17879800573132</v>
      </c>
      <c r="J23" s="249">
        <f t="shared" si="2"/>
        <v>345.20103535993417</v>
      </c>
      <c r="K23" s="503">
        <f t="shared" si="2"/>
        <v>32525.139150683321</v>
      </c>
    </row>
    <row r="24" spans="1:12" ht="9" customHeight="1" thickBot="1">
      <c r="A24" s="210"/>
      <c r="B24" s="114"/>
      <c r="C24" s="114"/>
      <c r="D24" s="114"/>
      <c r="E24" s="114"/>
      <c r="F24" s="114"/>
      <c r="G24" s="114"/>
      <c r="H24" s="114"/>
      <c r="I24" s="114"/>
      <c r="J24" s="114"/>
      <c r="K24" s="211"/>
    </row>
    <row r="25" spans="1:12" ht="15.75" thickBot="1">
      <c r="A25" s="541" t="s">
        <v>251</v>
      </c>
      <c r="B25" s="504"/>
      <c r="C25" s="504"/>
      <c r="D25" s="504"/>
      <c r="E25" s="504"/>
      <c r="F25" s="504"/>
      <c r="G25" s="504"/>
      <c r="H25" s="504"/>
      <c r="I25" s="504"/>
      <c r="J25" s="504"/>
      <c r="K25" s="434"/>
    </row>
    <row r="26" spans="1:12">
      <c r="A26" s="511" t="s">
        <v>384</v>
      </c>
      <c r="B26" s="114"/>
      <c r="C26" s="114"/>
      <c r="D26" s="114"/>
      <c r="E26" s="114"/>
      <c r="F26" s="114"/>
      <c r="G26" s="114"/>
      <c r="H26" s="114"/>
      <c r="I26" s="114"/>
      <c r="J26" s="114"/>
      <c r="K26" s="211"/>
    </row>
    <row r="27" spans="1:12">
      <c r="A27" s="512" t="s">
        <v>293</v>
      </c>
      <c r="B27" s="114"/>
      <c r="C27" s="114"/>
      <c r="D27" s="527">
        <f>SUM(E27:J27)</f>
        <v>50348.331259948056</v>
      </c>
      <c r="E27" s="527">
        <v>467.93586585770493</v>
      </c>
      <c r="F27" s="527">
        <v>45546.993761621132</v>
      </c>
      <c r="G27" s="527">
        <v>2368.6921138726989</v>
      </c>
      <c r="H27" s="527">
        <v>1956.1073403713347</v>
      </c>
      <c r="I27" s="527">
        <v>8.6021782251836978</v>
      </c>
      <c r="J27" s="527">
        <v>0</v>
      </c>
      <c r="K27" s="211"/>
    </row>
    <row r="28" spans="1:12">
      <c r="A28" s="512" t="s">
        <v>294</v>
      </c>
      <c r="B28" s="114"/>
      <c r="C28" s="114"/>
      <c r="D28" s="527">
        <f>SUM(E28:J28)</f>
        <v>116680.97507033771</v>
      </c>
      <c r="E28" s="527">
        <v>2821.9350286129988</v>
      </c>
      <c r="F28" s="527">
        <v>95922.827734216495</v>
      </c>
      <c r="G28" s="527">
        <v>16064.034658111157</v>
      </c>
      <c r="H28" s="527">
        <v>592.70405075293013</v>
      </c>
      <c r="I28" s="527">
        <v>788.03938219865074</v>
      </c>
      <c r="J28" s="527">
        <v>491.4342164454834</v>
      </c>
      <c r="K28" s="211"/>
    </row>
    <row r="29" spans="1:12">
      <c r="A29" s="513" t="s">
        <v>295</v>
      </c>
      <c r="B29" s="245"/>
      <c r="C29" s="245"/>
      <c r="D29" s="527">
        <f>SUM(D27:D28)</f>
        <v>167029.30633028576</v>
      </c>
      <c r="E29" s="114"/>
      <c r="F29" s="114"/>
      <c r="G29" s="114"/>
      <c r="H29" s="114"/>
      <c r="I29" s="114"/>
      <c r="J29" s="114"/>
      <c r="K29" s="211"/>
    </row>
    <row r="30" spans="1:12">
      <c r="A30" s="533" t="s">
        <v>253</v>
      </c>
      <c r="B30" s="114"/>
      <c r="C30" s="114"/>
      <c r="D30" s="114"/>
      <c r="E30" s="114"/>
      <c r="F30" s="114"/>
      <c r="G30" s="114"/>
      <c r="H30" s="114"/>
      <c r="I30" s="114"/>
      <c r="J30" s="114"/>
      <c r="K30" s="211"/>
    </row>
    <row r="31" spans="1:12">
      <c r="A31" s="358" t="s">
        <v>254</v>
      </c>
      <c r="B31" s="114"/>
      <c r="C31" s="114"/>
      <c r="D31" s="215">
        <f>SUM((HLOOKUP($A$2,'Expense Input File'!$A$12:$E$44,3,FALSE)),(HLOOKUP($A$2,'Expense Input File'!$A$12:$E$44,4,FALSE)),(HLOOKUP($A$2,'Expense Input File'!$A$12:$E$44,5,FALSE)), (HLOOKUP($A$2,'Expense Input File'!$A$12:$E$44,6,FALSE)),(HLOOKUP($A$2,'Expense Input File'!$A$12:$E$44,7,FALSE)))-$K$31-$F$31</f>
        <v>25631.824999999997</v>
      </c>
      <c r="E31" s="114"/>
      <c r="F31" s="215">
        <f>(HLOOKUP($A$2,'Expense Input File'!$A$12:$E$44,33,FALSE))</f>
        <v>1100</v>
      </c>
      <c r="G31" s="114"/>
      <c r="H31" s="114"/>
      <c r="I31" s="114"/>
      <c r="J31" s="114"/>
      <c r="K31" s="214">
        <f>SUM((HLOOKUP($A$2,'Expense Input File'!$A$12:$E$44,3,FALSE)),(HLOOKUP($A$2,'Expense Input File'!$A$12:$E$44,4,FALSE)),(HLOOKUP($A$2,'Expense Input File'!$A$12:$E$44,5,FALSE)), (HLOOKUP($A$2,'Expense Input File'!$A$12:$E$44,6,FALSE)))-(HLOOKUP($A$2,'Expense Input File'!$A$12:$E$44,8,FALSE))-(HLOOKUP($A$2,'Expense Input File'!$A$12:$E$44,33,FALSE))</f>
        <v>58549.478999999992</v>
      </c>
      <c r="L31" s="193"/>
    </row>
    <row r="32" spans="1:12">
      <c r="A32" s="358" t="s">
        <v>255</v>
      </c>
      <c r="B32" s="114"/>
      <c r="C32" s="114"/>
      <c r="D32" s="215">
        <f>HLOOKUP($A$2,'Expense Input File'!$A$2:$E$10,4,FALSE)</f>
        <v>176580.17499999999</v>
      </c>
      <c r="E32" s="114"/>
      <c r="F32" s="114"/>
      <c r="G32" s="114"/>
      <c r="H32" s="114"/>
      <c r="I32" s="114"/>
      <c r="J32" s="114"/>
      <c r="K32" s="211"/>
    </row>
    <row r="33" spans="1:12" ht="5.25" customHeight="1">
      <c r="A33" s="358"/>
      <c r="B33" s="114"/>
      <c r="C33" s="114"/>
      <c r="D33" s="215"/>
      <c r="E33" s="114"/>
      <c r="F33" s="114"/>
      <c r="G33" s="114"/>
      <c r="H33" s="114"/>
      <c r="I33" s="114"/>
      <c r="J33" s="114"/>
      <c r="K33" s="211"/>
    </row>
    <row r="34" spans="1:12">
      <c r="A34" s="534" t="s">
        <v>267</v>
      </c>
      <c r="B34" s="114"/>
      <c r="C34" s="114"/>
      <c r="D34" s="224">
        <f>SUM(D31:D32)</f>
        <v>202212</v>
      </c>
      <c r="E34" s="114"/>
      <c r="F34" s="114"/>
      <c r="G34" s="114"/>
      <c r="H34" s="114"/>
      <c r="I34" s="114"/>
      <c r="J34" s="114"/>
      <c r="K34" s="211"/>
    </row>
    <row r="35" spans="1:12">
      <c r="A35" s="514" t="s">
        <v>268</v>
      </c>
      <c r="B35" s="114"/>
      <c r="C35" s="114"/>
      <c r="D35" s="224">
        <f>D34-D36</f>
        <v>60953.595416390657</v>
      </c>
      <c r="E35" s="215">
        <f>(E27/D27)*D35</f>
        <v>566.5008697318724</v>
      </c>
      <c r="F35" s="224">
        <f>(F27/D27)*D35</f>
        <v>55140.9145189927</v>
      </c>
      <c r="G35" s="224">
        <f>(G27/D27)*D35</f>
        <v>2867.6283237582838</v>
      </c>
      <c r="H35" s="224">
        <f>(H27/D27)*D35</f>
        <v>2368.1375813715363</v>
      </c>
      <c r="I35" s="224">
        <f>(I27/D27)*D35</f>
        <v>10.414122536264442</v>
      </c>
      <c r="J35" s="224">
        <f>(J27/D27)*D35</f>
        <v>0</v>
      </c>
      <c r="K35" s="211"/>
    </row>
    <row r="36" spans="1:12">
      <c r="A36" s="514" t="s">
        <v>270</v>
      </c>
      <c r="B36" s="114"/>
      <c r="C36" s="114"/>
      <c r="D36" s="215">
        <f>((D28/D29)*D34)</f>
        <v>141258.40458360934</v>
      </c>
      <c r="E36" s="221">
        <f>(E28/D28)*D36</f>
        <v>3416.341350765852</v>
      </c>
      <c r="F36" s="224">
        <f>(F28/D28)*D36</f>
        <v>116127.805760242</v>
      </c>
      <c r="G36" s="224">
        <f>(G28/D28)*D36</f>
        <v>19447.72835171012</v>
      </c>
      <c r="H36" s="224">
        <f>(H28/D28)*D36</f>
        <v>717.54995661572684</v>
      </c>
      <c r="I36" s="224">
        <f>(I28/D28)*D36</f>
        <v>954.03030195222709</v>
      </c>
      <c r="J36" s="224">
        <f>(J28/D28)*D36</f>
        <v>594.94886232342333</v>
      </c>
      <c r="K36" s="211"/>
    </row>
    <row r="37" spans="1:12">
      <c r="A37" s="515" t="s">
        <v>269</v>
      </c>
      <c r="B37" s="245"/>
      <c r="C37" s="245"/>
      <c r="D37" s="224">
        <f>SUM(E37:J37)</f>
        <v>202212</v>
      </c>
      <c r="E37" s="224">
        <f t="shared" ref="E37:J37" si="3">SUM(E35:E36)</f>
        <v>3982.8422204977242</v>
      </c>
      <c r="F37" s="224">
        <f t="shared" si="3"/>
        <v>171268.72027923469</v>
      </c>
      <c r="G37" s="224">
        <f t="shared" si="3"/>
        <v>22315.356675468403</v>
      </c>
      <c r="H37" s="224">
        <f t="shared" si="3"/>
        <v>3085.6875379872631</v>
      </c>
      <c r="I37" s="224">
        <f t="shared" si="3"/>
        <v>964.44442448849156</v>
      </c>
      <c r="J37" s="224">
        <f t="shared" si="3"/>
        <v>594.94886232342333</v>
      </c>
      <c r="K37" s="211"/>
    </row>
    <row r="38" spans="1:12">
      <c r="A38" s="516" t="s">
        <v>21</v>
      </c>
      <c r="B38" s="114"/>
      <c r="C38" s="114"/>
      <c r="D38" s="535">
        <f>K38</f>
        <v>11329.901</v>
      </c>
      <c r="E38" s="119"/>
      <c r="F38" s="119"/>
      <c r="G38" s="119"/>
      <c r="H38" s="119"/>
      <c r="I38" s="119"/>
      <c r="J38" s="119"/>
      <c r="K38" s="324">
        <f>SUM((HLOOKUP($A$2,'Expense Input File'!$A$12:$E$44,24,FALSE)),(HLOOKUP($A$2,'Expense Input File'!$A$12:$E$44,25,FALSE)),(HLOOKUP($A$2,'Expense Input File'!$A$12:$E$44,26,FALSE)),(HLOOKUP($A$2,'Expense Input File'!$A$12:$E$44,27,FALSE)),(HLOOKUP($A$2,'Expense Input File'!$A$12:$E$44,28,FALSE)))</f>
        <v>11329.901</v>
      </c>
    </row>
    <row r="39" spans="1:12">
      <c r="A39" s="517" t="s">
        <v>271</v>
      </c>
      <c r="B39" s="245"/>
      <c r="C39" s="245"/>
      <c r="D39" s="249">
        <f>SUM(E39:K39)</f>
        <v>273191.38</v>
      </c>
      <c r="E39" s="249">
        <f t="shared" ref="E39:J39" si="4">E37</f>
        <v>3982.8422204977242</v>
      </c>
      <c r="F39" s="249">
        <f>F37+F31</f>
        <v>172368.72027923469</v>
      </c>
      <c r="G39" s="249">
        <f t="shared" si="4"/>
        <v>22315.356675468403</v>
      </c>
      <c r="H39" s="249">
        <f t="shared" si="4"/>
        <v>3085.6875379872631</v>
      </c>
      <c r="I39" s="249">
        <f t="shared" si="4"/>
        <v>964.44442448849156</v>
      </c>
      <c r="J39" s="249">
        <f t="shared" si="4"/>
        <v>594.94886232342333</v>
      </c>
      <c r="K39" s="503">
        <f>K38+K31</f>
        <v>69879.37999999999</v>
      </c>
    </row>
    <row r="40" spans="1:12">
      <c r="A40" s="533" t="s">
        <v>272</v>
      </c>
      <c r="B40" s="114"/>
      <c r="C40" s="114"/>
      <c r="D40" s="224"/>
      <c r="E40" s="114"/>
      <c r="F40" s="114"/>
      <c r="G40" s="114"/>
      <c r="H40" s="114"/>
      <c r="I40" s="114"/>
      <c r="J40" s="114"/>
      <c r="K40" s="211"/>
    </row>
    <row r="41" spans="1:12">
      <c r="A41" s="518" t="s">
        <v>31</v>
      </c>
      <c r="B41" s="114"/>
      <c r="C41" s="114"/>
      <c r="D41" s="215">
        <f>SUM((HLOOKUP($A$2,'Expense Input File'!$A$12:$E$44,10,FALSE)),(HLOOKUP($A$2,'Expense Input File'!$A$12:$E$44,11,FALSE)),(HLOOKUP($A$2,'Expense Input File'!$A$12:$E$44,12,FALSE)),(HLOOKUP($A$2,'Expense Input File'!$A$12:$E$44,13,FALSE)))</f>
        <v>15825.591</v>
      </c>
      <c r="E41" s="215">
        <f>(E39/D39)*D41</f>
        <v>230.72042755934979</v>
      </c>
      <c r="F41" s="215">
        <f>(F39/D39)*D41</f>
        <v>9985.076646022193</v>
      </c>
      <c r="G41" s="215">
        <f>(G39/D39)*D41</f>
        <v>1292.6971113257041</v>
      </c>
      <c r="H41" s="215">
        <f>(H39/D39)*D41</f>
        <v>178.74952324624368</v>
      </c>
      <c r="I41" s="215">
        <f>(I39/D39)*D41</f>
        <v>55.868904078105437</v>
      </c>
      <c r="J41" s="215">
        <f>(J39/D39)*D41</f>
        <v>34.464547750539595</v>
      </c>
      <c r="K41" s="214">
        <f>(K39/D39)*D41</f>
        <v>4048.0138400178653</v>
      </c>
    </row>
    <row r="42" spans="1:12">
      <c r="A42" s="518" t="s">
        <v>32</v>
      </c>
      <c r="B42" s="114"/>
      <c r="C42" s="114"/>
      <c r="D42" s="215">
        <f>SUM((HLOOKUP($A$2,'Expense Input File'!$A$12:$E$43,14,FALSE)),(HLOOKUP($A$2,'Expense Input File'!$A$12:$E$43,16,FALSE)),(HLOOKUP($A$2,'Expense Input File'!$A$12:$E$43,17,FALSE)),(HLOOKUP($A$2,'Expense Input File'!$A$12:$E$43,18,FALSE)),(HLOOKUP($A$2,'Expense Input File'!$A$12:$E$43,19,FALSE)),(HLOOKUP($A$2,'Expense Input File'!$A$12:$E$43,20,FALSE)),(HLOOKUP($A$2,'Expense Input File'!$A$12:$E$43,21,FALSE)),(HLOOKUP($A$2,'Expense Input File'!$A$12:$E$43,30,FALSE)),(HLOOKUP($A$2,'Expense Input File'!$A$12:$E$43,31,FALSE)),(HLOOKUP($A$2,'Expense Input File'!$A$12:$E$43,32,FALSE)))</f>
        <v>54613.204999999987</v>
      </c>
      <c r="E42" s="215">
        <f>(E39/D39)*D42</f>
        <v>796.20293535871212</v>
      </c>
      <c r="F42" s="215">
        <f>(F39/D39)*D42</f>
        <v>34457.925635126187</v>
      </c>
      <c r="G42" s="215">
        <f>(G39/D39)*D42</f>
        <v>4461.0234362646224</v>
      </c>
      <c r="H42" s="215">
        <f>(H39/D39)*D42</f>
        <v>616.85433148748564</v>
      </c>
      <c r="I42" s="215">
        <f>(I39/D39)*D42</f>
        <v>192.8003770312848</v>
      </c>
      <c r="J42" s="215">
        <f>(J39/D39)*D42</f>
        <v>118.93517351310969</v>
      </c>
      <c r="K42" s="214">
        <f>(K39/D39)*D42</f>
        <v>13969.463111218583</v>
      </c>
    </row>
    <row r="43" spans="1:12">
      <c r="A43" s="518" t="s">
        <v>274</v>
      </c>
      <c r="B43" s="114"/>
      <c r="C43" s="114"/>
      <c r="D43" s="215">
        <f>HLOOKUP($A$2,'Expense Input File'!$A$2:$E$10,3,FALSE)</f>
        <v>56350.642999999996</v>
      </c>
      <c r="E43" s="215">
        <f>(E39/D39)*(D43-(HLOOKUP($A$2,'Expense Input File'!$A$2:$E$10,9,FALSE)))</f>
        <v>734.09779414985462</v>
      </c>
      <c r="F43" s="215">
        <f>(F39/D39)*(D43-(HLOOKUP($A$2,'Expense Input File'!$A$2:$E$10,9,FALSE)))</f>
        <v>31770.150644231835</v>
      </c>
      <c r="G43" s="215">
        <f>(G39/D39)*(D43-(HLOOKUP($A$2,'Expense Input File'!$A$2:$E$10,9,FALSE)))</f>
        <v>4113.0562558617812</v>
      </c>
      <c r="H43" s="215">
        <f>(H39/D39)*(D43-(HLOOKUP($A$2,'Expense Input File'!$A$2:$E$10,9,FALSE)))</f>
        <v>568.73867697150979</v>
      </c>
      <c r="I43" s="215">
        <f>(I39/D39)*(D43-(HLOOKUP($A$2,'Expense Input File'!$A$2:$E$10,9,FALSE)))</f>
        <v>177.76162986156442</v>
      </c>
      <c r="J43" s="215">
        <f>(J39/D39)*(D43-(HLOOKUP($A$2,'Expense Input File'!$A$2:$E$10,9,FALSE)))</f>
        <v>109.65803395772258</v>
      </c>
      <c r="K43" s="214">
        <f>((K39/D39)*(D43-(HLOOKUP($A$2,'Expense Input File'!$A$2:$E$10,9,FALSE))))+(HLOOKUP($A$2,'Expense Input File'!$A$2:$E$10,9,FALSE))</f>
        <v>18877.17996496573</v>
      </c>
    </row>
    <row r="44" spans="1:12">
      <c r="A44" s="518" t="s">
        <v>291</v>
      </c>
      <c r="B44" s="114"/>
      <c r="C44" s="114"/>
      <c r="D44" s="323">
        <f>SUM((HLOOKUP($A$2,'Expense Input File'!$A$2:$E$10,7,FALSE)),(HLOOKUP($A$2,'Expense Input File'!$A$2:$E$10,8,FALSE)))</f>
        <v>86392.051999999996</v>
      </c>
      <c r="E44" s="323">
        <f>(E39/D39)*D44</f>
        <v>1259.5050115455138</v>
      </c>
      <c r="F44" s="323">
        <f>(F39/D39)*D44</f>
        <v>54508.62851359768</v>
      </c>
      <c r="G44" s="323">
        <f>(G39/D39)*D44</f>
        <v>7056.8458430336032</v>
      </c>
      <c r="H44" s="323">
        <f>(H39/D39)*D44</f>
        <v>975.79534990286879</v>
      </c>
      <c r="I44" s="323">
        <f>(I39/D39)*D44</f>
        <v>304.98887948631403</v>
      </c>
      <c r="J44" s="323">
        <f>(J39/D39)*D44</f>
        <v>188.14229442812589</v>
      </c>
      <c r="K44" s="324">
        <f>(K39/D39)*D44</f>
        <v>22098.146108005891</v>
      </c>
    </row>
    <row r="45" spans="1:12">
      <c r="A45" s="519" t="s">
        <v>290</v>
      </c>
      <c r="B45" s="114"/>
      <c r="C45" s="114"/>
      <c r="D45" s="249">
        <f>SUM(D41:D44)</f>
        <v>213181.49099999998</v>
      </c>
      <c r="E45" s="249">
        <f t="shared" ref="E45:J45" si="5">SUM(E41:E44)</f>
        <v>3020.5261686134304</v>
      </c>
      <c r="F45" s="249">
        <f t="shared" si="5"/>
        <v>130721.78143897789</v>
      </c>
      <c r="G45" s="249">
        <f t="shared" si="5"/>
        <v>16923.62264648571</v>
      </c>
      <c r="H45" s="249">
        <f t="shared" si="5"/>
        <v>2340.1378816081078</v>
      </c>
      <c r="I45" s="249">
        <f t="shared" si="5"/>
        <v>731.41979045726862</v>
      </c>
      <c r="J45" s="249">
        <f t="shared" si="5"/>
        <v>451.20004964949771</v>
      </c>
      <c r="K45" s="503">
        <f>SUM(K41:K44)</f>
        <v>58992.803024208071</v>
      </c>
      <c r="L45" s="105"/>
    </row>
    <row r="46" spans="1:12" ht="15.75" thickBot="1">
      <c r="A46" s="520" t="s">
        <v>263</v>
      </c>
      <c r="B46" s="114"/>
      <c r="C46" s="114"/>
      <c r="D46" s="249">
        <f t="shared" ref="D46:K46" si="6">D45+D39</f>
        <v>486372.87099999998</v>
      </c>
      <c r="E46" s="249">
        <f t="shared" si="6"/>
        <v>7003.3683891111541</v>
      </c>
      <c r="F46" s="249">
        <f t="shared" si="6"/>
        <v>303090.50171821262</v>
      </c>
      <c r="G46" s="249">
        <f t="shared" si="6"/>
        <v>39238.979321954117</v>
      </c>
      <c r="H46" s="249">
        <f t="shared" si="6"/>
        <v>5425.8254195953705</v>
      </c>
      <c r="I46" s="249">
        <f t="shared" si="6"/>
        <v>1695.8642149457601</v>
      </c>
      <c r="J46" s="249">
        <f t="shared" si="6"/>
        <v>1046.148911972921</v>
      </c>
      <c r="K46" s="503">
        <f t="shared" si="6"/>
        <v>128872.18302420806</v>
      </c>
      <c r="L46" s="200"/>
    </row>
    <row r="47" spans="1:12" ht="15.75" thickBot="1">
      <c r="A47" s="541" t="s">
        <v>180</v>
      </c>
      <c r="B47" s="508"/>
      <c r="C47" s="508"/>
      <c r="D47" s="508"/>
      <c r="E47" s="508"/>
      <c r="F47" s="508"/>
      <c r="G47" s="508"/>
      <c r="H47" s="508"/>
      <c r="I47" s="508"/>
      <c r="J47" s="508"/>
      <c r="K47" s="509"/>
    </row>
    <row r="48" spans="1:12">
      <c r="A48" s="358" t="s">
        <v>279</v>
      </c>
      <c r="B48" s="114"/>
      <c r="C48" s="114"/>
      <c r="D48" s="215"/>
      <c r="E48" s="114"/>
      <c r="F48" s="114"/>
      <c r="G48" s="114"/>
      <c r="H48" s="114"/>
      <c r="I48" s="114"/>
      <c r="J48" s="114"/>
      <c r="K48" s="211"/>
    </row>
    <row r="49" spans="1:17">
      <c r="A49" s="358" t="s">
        <v>277</v>
      </c>
      <c r="B49" s="114"/>
      <c r="C49" s="114"/>
      <c r="D49" s="215">
        <f>(HLOOKUP($A$2,'Expense Input File'!$A$12:$E$65,37,FALSE))</f>
        <v>8867</v>
      </c>
      <c r="E49" s="215"/>
      <c r="F49" s="362">
        <v>8675.2963647959186</v>
      </c>
      <c r="G49" s="215"/>
      <c r="H49" s="215"/>
      <c r="I49" s="362">
        <v>191.70363520408162</v>
      </c>
      <c r="J49" s="536"/>
      <c r="K49" s="211"/>
      <c r="L49" s="190"/>
      <c r="M49" s="190"/>
    </row>
    <row r="50" spans="1:17">
      <c r="A50" s="358" t="s">
        <v>278</v>
      </c>
      <c r="B50" s="114"/>
      <c r="C50" s="114"/>
      <c r="D50" s="215">
        <f>(HLOOKUP($A$2,'Expense Input File'!$A$12:$E$65,38,FALSE))</f>
        <v>589.23199999999997</v>
      </c>
      <c r="E50" s="215"/>
      <c r="F50" s="114"/>
      <c r="G50" s="224">
        <f>D50</f>
        <v>589.23199999999997</v>
      </c>
      <c r="H50" s="114"/>
      <c r="I50" s="114"/>
      <c r="J50" s="114"/>
      <c r="K50" s="211"/>
    </row>
    <row r="51" spans="1:17">
      <c r="A51" s="358" t="s">
        <v>276</v>
      </c>
      <c r="B51" s="114"/>
      <c r="C51" s="114"/>
      <c r="D51" s="215">
        <f>(HLOOKUP($A$2,'Expense Input File'!$A$12:$E$65,41,FALSE))</f>
        <v>225</v>
      </c>
      <c r="E51" s="215"/>
      <c r="F51" s="224">
        <f>D51</f>
        <v>225</v>
      </c>
      <c r="G51" s="114"/>
      <c r="H51" s="114"/>
      <c r="I51" s="114"/>
      <c r="J51" s="114"/>
      <c r="K51" s="211"/>
    </row>
    <row r="52" spans="1:17">
      <c r="A52" s="358" t="s">
        <v>409</v>
      </c>
      <c r="B52" s="114"/>
      <c r="C52" s="114"/>
      <c r="D52" s="215">
        <f>(HLOOKUP($A$2,'Expense Input File'!$A$12:$E$65,39,FALSE))</f>
        <v>1272.635</v>
      </c>
      <c r="E52" s="215"/>
      <c r="F52" s="362">
        <v>801.6042714575409</v>
      </c>
      <c r="G52" s="362">
        <v>471.03072854245903</v>
      </c>
      <c r="H52" s="114"/>
      <c r="I52" s="114"/>
      <c r="J52" s="114"/>
      <c r="K52" s="211"/>
      <c r="L52" s="190"/>
      <c r="M52" s="190"/>
      <c r="N52" s="190"/>
      <c r="O52" s="190"/>
      <c r="P52" s="190"/>
      <c r="Q52" s="190"/>
    </row>
    <row r="53" spans="1:17">
      <c r="A53" s="358" t="s">
        <v>275</v>
      </c>
      <c r="B53" s="114"/>
      <c r="C53" s="114"/>
      <c r="D53" s="215">
        <f>HLOOKUP($A$2,'Expense Input File'!$A$12:$E$66,42,FALSE)</f>
        <v>1996.009</v>
      </c>
      <c r="E53" s="215">
        <f>(E28/D28)*D53</f>
        <v>48.273574257768679</v>
      </c>
      <c r="F53" s="215">
        <f>(F28/D28)*D53</f>
        <v>1640.908702961455</v>
      </c>
      <c r="G53" s="215">
        <f>(G28/D28)*D53</f>
        <v>274.80022115493097</v>
      </c>
      <c r="H53" s="215">
        <f>(H28/D28)*D53</f>
        <v>10.139121814213009</v>
      </c>
      <c r="I53" s="215">
        <f>(I28/D28)*D53</f>
        <v>13.480635538696429</v>
      </c>
      <c r="J53" s="215">
        <f>(J28/D28)*D53</f>
        <v>8.406744272935855</v>
      </c>
      <c r="K53" s="211"/>
    </row>
    <row r="54" spans="1:17">
      <c r="A54" s="358" t="s">
        <v>264</v>
      </c>
      <c r="B54" s="245"/>
      <c r="C54" s="114"/>
      <c r="D54" s="323">
        <f>K54</f>
        <v>95479.665827999997</v>
      </c>
      <c r="E54" s="323"/>
      <c r="F54" s="119"/>
      <c r="G54" s="119"/>
      <c r="H54" s="119"/>
      <c r="I54" s="119"/>
      <c r="J54" s="119"/>
      <c r="K54" s="324">
        <f>HLOOKUP($A$2,'Expense Input File'!$A$12:$E$65,35,FALSE)</f>
        <v>95479.665827999997</v>
      </c>
      <c r="L54" s="193"/>
    </row>
    <row r="55" spans="1:17">
      <c r="A55" s="526" t="s">
        <v>288</v>
      </c>
      <c r="B55" s="114"/>
      <c r="C55" s="114"/>
      <c r="D55" s="362">
        <f>SUM(D49:D54)</f>
        <v>108429.541828</v>
      </c>
      <c r="E55" s="362">
        <f t="shared" ref="E55:K55" si="7">SUM(E49:E54)</f>
        <v>48.273574257768679</v>
      </c>
      <c r="F55" s="362">
        <f t="shared" si="7"/>
        <v>11342.809339214915</v>
      </c>
      <c r="G55" s="362">
        <f t="shared" si="7"/>
        <v>1335.06294969739</v>
      </c>
      <c r="H55" s="362">
        <f t="shared" si="7"/>
        <v>10.139121814213009</v>
      </c>
      <c r="I55" s="362">
        <f t="shared" si="7"/>
        <v>205.18427074277804</v>
      </c>
      <c r="J55" s="362">
        <f t="shared" si="7"/>
        <v>8.406744272935855</v>
      </c>
      <c r="K55" s="363">
        <f t="shared" si="7"/>
        <v>95479.665827999997</v>
      </c>
    </row>
    <row r="56" spans="1:17">
      <c r="A56" s="358" t="s">
        <v>280</v>
      </c>
      <c r="B56" s="114"/>
      <c r="C56" s="114"/>
      <c r="D56" s="114"/>
      <c r="E56" s="215"/>
      <c r="F56" s="114"/>
      <c r="G56" s="114"/>
      <c r="H56" s="114"/>
      <c r="I56" s="114"/>
      <c r="J56" s="114"/>
      <c r="K56" s="211"/>
    </row>
    <row r="57" spans="1:17">
      <c r="A57" s="358" t="s">
        <v>27</v>
      </c>
      <c r="B57" s="114"/>
      <c r="C57" s="114"/>
      <c r="D57" s="215">
        <f>SUM(E57:K57)</f>
        <v>96.720000000000013</v>
      </c>
      <c r="E57" s="215">
        <f>(HLOOKUP($A$2,'Expense Input File'!$A$45:$E$67,22,FALSE))*E5</f>
        <v>1.4267746066672342</v>
      </c>
      <c r="F57" s="215">
        <f>(HLOOKUP($A$2,'Expense Input File'!$A$45:$E$67,22,FALSE))*F5</f>
        <v>78.701612864262984</v>
      </c>
      <c r="G57" s="215">
        <f>(HLOOKUP($A$2,'Expense Input File'!$A$45:$E$67,22,FALSE))*G5</f>
        <v>12.1995988389414</v>
      </c>
      <c r="H57" s="215">
        <f>(HLOOKUP($A$2,'Expense Input File'!$A$45:$E$67,22,FALSE))*H5</f>
        <v>1.4678238459446551</v>
      </c>
      <c r="I57" s="215">
        <f>(HLOOKUP($A$2,'Expense Input File'!$A$45:$E$67,22,FALSE))*I5</f>
        <v>0.17843425854826239</v>
      </c>
      <c r="J57" s="215">
        <f>(HLOOKUP($A$2,'Expense Input File'!$A$45:$E$67,22,FALSE))*J5</f>
        <v>0.10842342684313627</v>
      </c>
      <c r="K57" s="214">
        <f>((HLOOKUP($A$2,'Expense Input File'!$A$45:$E$67,22,FALSE))*K5)+(HLOOKUP($A$2,'Expense Input File'!$A$45:$E$67,23,FALSE))</f>
        <v>2.6373321587923457</v>
      </c>
    </row>
    <row r="58" spans="1:17">
      <c r="A58" s="358" t="s">
        <v>28</v>
      </c>
      <c r="B58" s="114"/>
      <c r="C58" s="114"/>
      <c r="D58" s="215">
        <f>HLOOKUP($A$2,'Expense Input File'!$A$12:$E$65,46,FALSE)</f>
        <v>5746.0609999999997</v>
      </c>
      <c r="E58" s="215"/>
      <c r="F58" s="224">
        <f>D58</f>
        <v>5746.0609999999997</v>
      </c>
      <c r="G58" s="224"/>
      <c r="H58" s="224"/>
      <c r="I58" s="224"/>
      <c r="J58" s="224"/>
      <c r="K58" s="226"/>
    </row>
    <row r="59" spans="1:17">
      <c r="A59" s="358" t="s">
        <v>29</v>
      </c>
      <c r="B59" s="114"/>
      <c r="C59" s="114"/>
      <c r="D59" s="215">
        <f>HLOOKUP($A$2,'Expense Input File'!$A$12:$E$65,47,FALSE)</f>
        <v>0</v>
      </c>
      <c r="E59" s="221">
        <f>(E39/D39)*D59</f>
        <v>0</v>
      </c>
      <c r="F59" s="215">
        <f>(F39/D39)*D59</f>
        <v>0</v>
      </c>
      <c r="G59" s="215">
        <f>(G39/D39)*D59</f>
        <v>0</v>
      </c>
      <c r="H59" s="215">
        <f>(H39/D39)*D59</f>
        <v>0</v>
      </c>
      <c r="I59" s="215">
        <f>(I39/D39)*D59</f>
        <v>0</v>
      </c>
      <c r="J59" s="215">
        <f>(J39/D39)*D59</f>
        <v>0</v>
      </c>
      <c r="K59" s="214">
        <f>(K39/D39)*D59</f>
        <v>0</v>
      </c>
    </row>
    <row r="60" spans="1:17">
      <c r="A60" s="358" t="s">
        <v>30</v>
      </c>
      <c r="B60" s="114"/>
      <c r="C60" s="114"/>
      <c r="D60" s="323">
        <f>HLOOKUP($A$2,'Expense Input File'!$A$12:$E$65,48,FALSE)</f>
        <v>5187.7929999999997</v>
      </c>
      <c r="E60" s="323"/>
      <c r="F60" s="323"/>
      <c r="G60" s="323"/>
      <c r="H60" s="323"/>
      <c r="I60" s="323"/>
      <c r="J60" s="323"/>
      <c r="K60" s="324">
        <f>D60</f>
        <v>5187.7929999999997</v>
      </c>
      <c r="L60" s="191"/>
    </row>
    <row r="61" spans="1:17">
      <c r="A61" s="526" t="s">
        <v>289</v>
      </c>
      <c r="B61" s="114"/>
      <c r="C61" s="114"/>
      <c r="D61" s="362">
        <f>SUM(D57:D60)</f>
        <v>11030.574000000001</v>
      </c>
      <c r="E61" s="362">
        <f t="shared" ref="E61:J61" si="8">SUM(E57:E60)</f>
        <v>1.4267746066672342</v>
      </c>
      <c r="F61" s="362">
        <f t="shared" si="8"/>
        <v>5824.7626128642623</v>
      </c>
      <c r="G61" s="362">
        <f t="shared" si="8"/>
        <v>12.1995988389414</v>
      </c>
      <c r="H61" s="362">
        <f t="shared" si="8"/>
        <v>1.4678238459446551</v>
      </c>
      <c r="I61" s="362">
        <f t="shared" si="8"/>
        <v>0.17843425854826239</v>
      </c>
      <c r="J61" s="362">
        <f t="shared" si="8"/>
        <v>0.10842342684313627</v>
      </c>
      <c r="K61" s="363">
        <f>SUM(K57:K60)</f>
        <v>5190.4303321587922</v>
      </c>
    </row>
    <row r="62" spans="1:17" ht="15.75" customHeight="1" thickBot="1">
      <c r="A62" s="537" t="s">
        <v>281</v>
      </c>
      <c r="B62" s="537"/>
      <c r="C62" s="537"/>
      <c r="D62" s="505">
        <f>SUM(E62:K62)</f>
        <v>119460.11582799999</v>
      </c>
      <c r="E62" s="505">
        <f>E61+E55</f>
        <v>49.700348864435917</v>
      </c>
      <c r="F62" s="505">
        <f t="shared" ref="F62:K62" si="9">F61+F55</f>
        <v>17167.571952079175</v>
      </c>
      <c r="G62" s="505">
        <f t="shared" si="9"/>
        <v>1347.2625485363315</v>
      </c>
      <c r="H62" s="505">
        <f t="shared" si="9"/>
        <v>11.606945660157665</v>
      </c>
      <c r="I62" s="505">
        <f t="shared" si="9"/>
        <v>205.3627050013263</v>
      </c>
      <c r="J62" s="505">
        <f t="shared" si="9"/>
        <v>8.515167699778992</v>
      </c>
      <c r="K62" s="506">
        <f t="shared" si="9"/>
        <v>100670.09616015879</v>
      </c>
    </row>
    <row r="63" spans="1:17">
      <c r="A63" s="203"/>
      <c r="B63" s="203"/>
      <c r="C63" s="203"/>
      <c r="D63" s="203"/>
      <c r="E63" s="203"/>
      <c r="F63" s="203"/>
      <c r="G63" s="203"/>
      <c r="H63" s="203"/>
      <c r="I63" s="203"/>
      <c r="J63" s="203"/>
      <c r="K63" s="203"/>
    </row>
    <row r="64" spans="1:17">
      <c r="A64" s="203"/>
      <c r="B64" s="203"/>
      <c r="C64" s="203"/>
      <c r="D64" s="203"/>
      <c r="E64" s="203"/>
      <c r="F64" s="203"/>
      <c r="G64" s="203"/>
      <c r="H64" s="203"/>
      <c r="I64" s="203"/>
      <c r="J64" s="203"/>
      <c r="K64" s="203"/>
    </row>
    <row r="65" spans="1:11">
      <c r="A65" s="203"/>
      <c r="B65" s="203"/>
      <c r="C65" s="203"/>
      <c r="D65" s="203"/>
      <c r="E65" s="203"/>
      <c r="F65" s="203"/>
      <c r="G65" s="203"/>
      <c r="H65" s="203"/>
      <c r="I65" s="203"/>
      <c r="J65" s="203"/>
      <c r="K65" s="203"/>
    </row>
  </sheetData>
  <customSheetViews>
    <customSheetView guid="{2226E858-00AE-4A92-8CF6-5B54D2FA62D4}" showPageBreaks="1" fitToPage="1" topLeftCell="A52">
      <selection activeCell="A79" sqref="A79"/>
      <pageMargins left="0.25" right="0.25" top="0.75" bottom="0.75" header="0.3" footer="0.3"/>
      <pageSetup scale="55" orientation="portrait" r:id="rId1"/>
    </customSheetView>
  </customSheetViews>
  <mergeCells count="2">
    <mergeCell ref="A1:K1"/>
    <mergeCell ref="A2:C2"/>
  </mergeCells>
  <pageMargins left="0.25" right="0.25" top="0.75" bottom="0.75" header="0.3" footer="0.3"/>
  <pageSetup scale="55"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L67"/>
  <sheetViews>
    <sheetView workbookViewId="0">
      <selection sqref="A1:K1"/>
    </sheetView>
  </sheetViews>
  <sheetFormatPr defaultRowHeight="15"/>
  <cols>
    <col min="1" max="2" width="9.140625" style="7"/>
    <col min="3" max="3" width="29.28515625" style="7" customWidth="1"/>
    <col min="4" max="11" width="15.7109375" style="7" customWidth="1"/>
    <col min="12" max="16384" width="9.140625" style="7"/>
  </cols>
  <sheetData>
    <row r="1" spans="1:12" ht="18.75" thickBot="1">
      <c r="A1" s="678" t="s">
        <v>428</v>
      </c>
      <c r="B1" s="679"/>
      <c r="C1" s="679"/>
      <c r="D1" s="679"/>
      <c r="E1" s="679"/>
      <c r="F1" s="679"/>
      <c r="G1" s="679"/>
      <c r="H1" s="679"/>
      <c r="I1" s="679"/>
      <c r="J1" s="679"/>
      <c r="K1" s="680"/>
    </row>
    <row r="2" spans="1:12" ht="29.25" customHeight="1" thickBot="1">
      <c r="A2" s="654">
        <v>2019</v>
      </c>
      <c r="B2" s="655"/>
      <c r="C2" s="655"/>
      <c r="D2" s="538" t="s">
        <v>173</v>
      </c>
      <c r="E2" s="539" t="s">
        <v>174</v>
      </c>
      <c r="F2" s="539" t="s">
        <v>175</v>
      </c>
      <c r="G2" s="539" t="s">
        <v>176</v>
      </c>
      <c r="H2" s="539" t="s">
        <v>177</v>
      </c>
      <c r="I2" s="539" t="s">
        <v>178</v>
      </c>
      <c r="J2" s="539" t="s">
        <v>179</v>
      </c>
      <c r="K2" s="540" t="s">
        <v>180</v>
      </c>
      <c r="L2" s="3"/>
    </row>
    <row r="3" spans="1:12" ht="15.75" thickBot="1">
      <c r="A3" s="541" t="s">
        <v>273</v>
      </c>
      <c r="B3" s="539"/>
      <c r="C3" s="539"/>
      <c r="D3" s="539"/>
      <c r="E3" s="539"/>
      <c r="F3" s="539"/>
      <c r="G3" s="539"/>
      <c r="H3" s="539"/>
      <c r="I3" s="539"/>
      <c r="J3" s="539"/>
      <c r="K3" s="540"/>
      <c r="L3" s="3"/>
    </row>
    <row r="4" spans="1:12">
      <c r="A4" s="210" t="s">
        <v>181</v>
      </c>
      <c r="B4" s="245"/>
      <c r="C4" s="245"/>
      <c r="D4" s="215">
        <f>SUM(E4:K4)</f>
        <v>5945000.2668719832</v>
      </c>
      <c r="E4" s="215">
        <v>83207.088043948868</v>
      </c>
      <c r="F4" s="215">
        <v>4853916.9786260519</v>
      </c>
      <c r="G4" s="215">
        <v>728375.10227007919</v>
      </c>
      <c r="H4" s="215">
        <v>85421.013067349049</v>
      </c>
      <c r="I4" s="215">
        <v>10412.950408038745</v>
      </c>
      <c r="J4" s="215">
        <v>6328.0943728232023</v>
      </c>
      <c r="K4" s="214">
        <v>177339.0400836929</v>
      </c>
    </row>
    <row r="5" spans="1:12">
      <c r="A5" s="350" t="s">
        <v>252</v>
      </c>
      <c r="B5" s="114"/>
      <c r="C5" s="114"/>
      <c r="D5" s="521">
        <f>SUM(E5:K5)</f>
        <v>1</v>
      </c>
      <c r="E5" s="522">
        <f>E4/D4</f>
        <v>1.399614538414967E-2</v>
      </c>
      <c r="F5" s="522">
        <f>F4/D4</f>
        <v>0.81647043914768147</v>
      </c>
      <c r="G5" s="522">
        <f>G4/D4</f>
        <v>0.12251893516790714</v>
      </c>
      <c r="H5" s="522">
        <f>H4/D4</f>
        <v>1.4368546548828685E-2</v>
      </c>
      <c r="I5" s="522">
        <f>I4/D4</f>
        <v>1.7515475089318398E-3</v>
      </c>
      <c r="J5" s="522">
        <f>J4/D4</f>
        <v>1.0644397121537536E-3</v>
      </c>
      <c r="K5" s="523">
        <f>K4/D4</f>
        <v>2.9829946530347505E-2</v>
      </c>
    </row>
    <row r="6" spans="1:12">
      <c r="A6" s="524" t="s">
        <v>68</v>
      </c>
      <c r="B6" s="114"/>
      <c r="C6" s="114"/>
      <c r="D6" s="114"/>
      <c r="E6" s="114"/>
      <c r="F6" s="114"/>
      <c r="G6" s="114"/>
      <c r="H6" s="114"/>
      <c r="I6" s="114"/>
      <c r="J6" s="114"/>
      <c r="K6" s="211"/>
    </row>
    <row r="7" spans="1:12">
      <c r="A7" s="210"/>
      <c r="B7" s="114" t="s">
        <v>185</v>
      </c>
      <c r="C7" s="114"/>
      <c r="D7" s="215">
        <f>SUM(E7:K7)</f>
        <v>4172</v>
      </c>
      <c r="E7" s="215"/>
      <c r="F7" s="215">
        <f>HLOOKUP($A$2,'Repayment Inputs'!$B$4:$D$26,19,FALSE)</f>
        <v>4172</v>
      </c>
      <c r="G7" s="215">
        <f>HLOOKUP($A$2,'Repayment Inputs'!$B$4:$D$26,20,FALSE)</f>
        <v>0</v>
      </c>
      <c r="H7" s="215"/>
      <c r="I7" s="215"/>
      <c r="J7" s="215"/>
      <c r="K7" s="214"/>
    </row>
    <row r="8" spans="1:12">
      <c r="A8" s="210"/>
      <c r="B8" s="114" t="s">
        <v>140</v>
      </c>
      <c r="C8" s="114"/>
      <c r="D8" s="215">
        <f>SUM(E8:K8)</f>
        <v>-61.233079475000004</v>
      </c>
      <c r="E8" s="215"/>
      <c r="F8" s="215">
        <f>-(HLOOKUP($A$2,AFUDC!$D$4:$F$29,25,FALSE))</f>
        <v>-61.233079475000004</v>
      </c>
      <c r="G8" s="215"/>
      <c r="H8" s="215"/>
      <c r="I8" s="215"/>
      <c r="J8" s="215"/>
      <c r="K8" s="214"/>
    </row>
    <row r="9" spans="1:12">
      <c r="A9" s="210"/>
      <c r="B9" s="114" t="s">
        <v>182</v>
      </c>
      <c r="C9" s="114"/>
      <c r="D9" s="215">
        <f>SUM(E9:K9)</f>
        <v>4110.7669205250004</v>
      </c>
      <c r="E9" s="215"/>
      <c r="F9" s="215">
        <f>SUM(F7:F8)</f>
        <v>4110.7669205250004</v>
      </c>
      <c r="G9" s="215">
        <f>SUM(G7:G8)</f>
        <v>0</v>
      </c>
      <c r="H9" s="215"/>
      <c r="I9" s="215"/>
      <c r="J9" s="215"/>
      <c r="K9" s="214"/>
    </row>
    <row r="10" spans="1:12">
      <c r="A10" s="525" t="s">
        <v>183</v>
      </c>
      <c r="B10" s="114"/>
      <c r="C10" s="114"/>
      <c r="D10" s="215">
        <f>HLOOKUP($A$2,'Revenue Requirement'!$A$3:$G$27,25,FALSE)-$D$9</f>
        <v>160056.34542834296</v>
      </c>
      <c r="E10" s="215">
        <f>D10*E5</f>
        <v>2240.1718802707674</v>
      </c>
      <c r="F10" s="215">
        <f>D10*F5</f>
        <v>130681.27464025217</v>
      </c>
      <c r="G10" s="215">
        <f>D10*G5</f>
        <v>19609.933008747303</v>
      </c>
      <c r="H10" s="215">
        <f>D10*H5</f>
        <v>2299.7770497225492</v>
      </c>
      <c r="I10" s="215">
        <f>D10*I5</f>
        <v>280.34629312374818</v>
      </c>
      <c r="J10" s="215">
        <f>D10*J5</f>
        <v>170.37033025612715</v>
      </c>
      <c r="K10" s="214">
        <f>D10*K5</f>
        <v>4774.4722259703012</v>
      </c>
    </row>
    <row r="11" spans="1:12">
      <c r="A11" s="526" t="s">
        <v>184</v>
      </c>
      <c r="B11" s="245"/>
      <c r="C11" s="245"/>
      <c r="D11" s="249">
        <f t="shared" ref="D11:K11" si="0">D10+D9</f>
        <v>164167.11234886796</v>
      </c>
      <c r="E11" s="249">
        <f t="shared" si="0"/>
        <v>2240.1718802707674</v>
      </c>
      <c r="F11" s="249">
        <f t="shared" si="0"/>
        <v>134792.04156077717</v>
      </c>
      <c r="G11" s="249">
        <f t="shared" si="0"/>
        <v>19609.933008747303</v>
      </c>
      <c r="H11" s="249">
        <f t="shared" si="0"/>
        <v>2299.7770497225492</v>
      </c>
      <c r="I11" s="249">
        <f t="shared" si="0"/>
        <v>280.34629312374818</v>
      </c>
      <c r="J11" s="249">
        <f t="shared" si="0"/>
        <v>170.37033025612715</v>
      </c>
      <c r="K11" s="503">
        <f t="shared" si="0"/>
        <v>4774.4722259703012</v>
      </c>
    </row>
    <row r="12" spans="1:12">
      <c r="A12" s="524" t="s">
        <v>191</v>
      </c>
      <c r="B12" s="114"/>
      <c r="C12" s="114"/>
      <c r="D12" s="114"/>
      <c r="E12" s="114"/>
      <c r="F12" s="114"/>
      <c r="G12" s="114"/>
      <c r="H12" s="114"/>
      <c r="I12" s="114"/>
      <c r="J12" s="114"/>
      <c r="K12" s="211"/>
    </row>
    <row r="13" spans="1:12">
      <c r="A13" s="210"/>
      <c r="B13" s="114" t="s">
        <v>192</v>
      </c>
      <c r="C13" s="114"/>
      <c r="D13" s="114"/>
      <c r="E13" s="114"/>
      <c r="F13" s="215">
        <f>HLOOKUP($A$2,'Repayment Inputs'!$A$4:$D$45,38,FALSE)</f>
        <v>14766.860225654802</v>
      </c>
      <c r="G13" s="215">
        <f>HLOOKUP($A$2,'Repayment Inputs'!$A$4:$D$45,39,FALSE)</f>
        <v>0</v>
      </c>
      <c r="H13" s="114"/>
      <c r="I13" s="114"/>
      <c r="J13" s="114"/>
      <c r="K13" s="211"/>
    </row>
    <row r="14" spans="1:12">
      <c r="A14" s="210"/>
      <c r="B14" s="114" t="s">
        <v>182</v>
      </c>
      <c r="C14" s="114"/>
      <c r="D14" s="114"/>
      <c r="E14" s="114"/>
      <c r="F14" s="224">
        <f>F9</f>
        <v>4110.7669205250004</v>
      </c>
      <c r="G14" s="224">
        <f>G9</f>
        <v>0</v>
      </c>
      <c r="H14" s="114"/>
      <c r="I14" s="114"/>
      <c r="J14" s="114"/>
      <c r="K14" s="211"/>
    </row>
    <row r="15" spans="1:12">
      <c r="A15" s="210"/>
      <c r="B15" s="114" t="s">
        <v>193</v>
      </c>
      <c r="C15" s="114"/>
      <c r="D15" s="114"/>
      <c r="E15" s="114"/>
      <c r="F15" s="527">
        <v>8089.4196435313024</v>
      </c>
      <c r="G15" s="527">
        <v>280.253244</v>
      </c>
      <c r="H15" s="114"/>
      <c r="I15" s="114"/>
      <c r="J15" s="114"/>
      <c r="K15" s="211"/>
    </row>
    <row r="16" spans="1:12">
      <c r="A16" s="210"/>
      <c r="B16" s="114" t="s">
        <v>194</v>
      </c>
      <c r="C16" s="114"/>
      <c r="D16" s="224">
        <f>F16+G16</f>
        <v>2286.4204175984992</v>
      </c>
      <c r="E16" s="114"/>
      <c r="F16" s="224">
        <f>F13-F14-F15</f>
        <v>2566.6736615984992</v>
      </c>
      <c r="G16" s="224">
        <f>G13-G14-G15</f>
        <v>-280.253244</v>
      </c>
      <c r="H16" s="114"/>
      <c r="I16" s="114"/>
      <c r="J16" s="114"/>
      <c r="K16" s="211"/>
    </row>
    <row r="17" spans="1:11">
      <c r="A17" s="358" t="s">
        <v>196</v>
      </c>
      <c r="B17" s="114"/>
      <c r="C17" s="114"/>
      <c r="D17" s="224">
        <f>HLOOKUP($A$2,'Revenue Requirement'!$A$3:$G$33,31,FALSE)-$D$16</f>
        <v>-1938.8168299044114</v>
      </c>
      <c r="E17" s="215">
        <f>D17*E5</f>
        <v>-27.135962224578325</v>
      </c>
      <c r="F17" s="215">
        <f>D17*F5</f>
        <v>-1582.9866285389705</v>
      </c>
      <c r="G17" s="215">
        <f>D17*G5</f>
        <v>-237.54177348550584</v>
      </c>
      <c r="H17" s="215">
        <f>D17*H5</f>
        <v>-27.857979870134002</v>
      </c>
      <c r="I17" s="215">
        <f>D17*I5</f>
        <v>-3.3959297886941986</v>
      </c>
      <c r="J17" s="215">
        <f>D17*J5</f>
        <v>-2.063753628342305</v>
      </c>
      <c r="K17" s="214">
        <f>D17*K5</f>
        <v>-57.834802368186445</v>
      </c>
    </row>
    <row r="18" spans="1:11">
      <c r="A18" s="526" t="s">
        <v>195</v>
      </c>
      <c r="B18" s="114"/>
      <c r="C18" s="114"/>
      <c r="D18" s="249">
        <f>D17+D16</f>
        <v>347.60358769408776</v>
      </c>
      <c r="E18" s="249">
        <f t="shared" ref="E18:K18" si="1">E17+E16</f>
        <v>-27.135962224578325</v>
      </c>
      <c r="F18" s="249">
        <f t="shared" si="1"/>
        <v>983.68703305952863</v>
      </c>
      <c r="G18" s="249">
        <f>G17+G16</f>
        <v>-517.79501748550581</v>
      </c>
      <c r="H18" s="249">
        <f t="shared" si="1"/>
        <v>-27.857979870134002</v>
      </c>
      <c r="I18" s="249">
        <f t="shared" si="1"/>
        <v>-3.3959297886941986</v>
      </c>
      <c r="J18" s="249">
        <f t="shared" si="1"/>
        <v>-2.063753628342305</v>
      </c>
      <c r="K18" s="503">
        <f t="shared" si="1"/>
        <v>-57.834802368186445</v>
      </c>
    </row>
    <row r="19" spans="1:11">
      <c r="A19" s="524" t="s">
        <v>201</v>
      </c>
      <c r="B19" s="114"/>
      <c r="C19" s="114"/>
      <c r="D19" s="249"/>
      <c r="E19" s="249"/>
      <c r="F19" s="249"/>
      <c r="G19" s="249"/>
      <c r="H19" s="249"/>
      <c r="I19" s="249"/>
      <c r="J19" s="249"/>
      <c r="K19" s="503"/>
    </row>
    <row r="20" spans="1:11">
      <c r="A20" s="528" t="s">
        <v>197</v>
      </c>
      <c r="B20" s="114"/>
      <c r="C20" s="114"/>
      <c r="D20" s="215">
        <f>SUM(E20:K20)</f>
        <v>195740.50747796067</v>
      </c>
      <c r="E20" s="527">
        <v>2439</v>
      </c>
      <c r="F20" s="527">
        <v>152880.93776599999</v>
      </c>
      <c r="G20" s="527">
        <v>23553</v>
      </c>
      <c r="H20" s="527">
        <v>2750</v>
      </c>
      <c r="I20" s="527">
        <v>299</v>
      </c>
      <c r="J20" s="527">
        <v>181</v>
      </c>
      <c r="K20" s="529">
        <v>13637.569711960688</v>
      </c>
    </row>
    <row r="21" spans="1:11">
      <c r="A21" s="528" t="s">
        <v>198</v>
      </c>
      <c r="B21" s="114"/>
      <c r="C21" s="114"/>
      <c r="D21" s="530">
        <f>SUM(E21:K21)</f>
        <v>0.99999999999999989</v>
      </c>
      <c r="E21" s="531">
        <f>E39/D39</f>
        <v>1.4535423221583077E-2</v>
      </c>
      <c r="F21" s="531">
        <f>F39/D39</f>
        <v>0.6290185063769731</v>
      </c>
      <c r="G21" s="531">
        <f>G39/D39</f>
        <v>8.1440121315671299E-2</v>
      </c>
      <c r="H21" s="531">
        <f>H39/D39</f>
        <v>1.126124807640624E-2</v>
      </c>
      <c r="I21" s="531">
        <f>I39/D39</f>
        <v>3.5197497434092382E-3</v>
      </c>
      <c r="J21" s="531">
        <f>J39/D39</f>
        <v>2.1712719285148147E-3</v>
      </c>
      <c r="K21" s="532">
        <f>K39/D39</f>
        <v>0.25805367933744217</v>
      </c>
    </row>
    <row r="22" spans="1:11">
      <c r="A22" s="528" t="s">
        <v>199</v>
      </c>
      <c r="B22" s="114"/>
      <c r="C22" s="114"/>
      <c r="D22" s="215">
        <v>80311.785091943733</v>
      </c>
      <c r="E22" s="215">
        <f>D22*E21</f>
        <v>1167.3657859922284</v>
      </c>
      <c r="F22" s="215">
        <f>D22*F21</f>
        <v>50517.599103002904</v>
      </c>
      <c r="G22" s="215">
        <f>D22*G21</f>
        <v>6540.6015209660191</v>
      </c>
      <c r="H22" s="215">
        <f>D22*H21</f>
        <v>904.41093537940276</v>
      </c>
      <c r="I22" s="215">
        <f>D22*I21</f>
        <v>282.67738497010686</v>
      </c>
      <c r="J22" s="215">
        <f>D22*J21</f>
        <v>174.37872449905203</v>
      </c>
      <c r="K22" s="214">
        <f>D22*K21</f>
        <v>20724.751637134017</v>
      </c>
    </row>
    <row r="23" spans="1:11">
      <c r="A23" s="526" t="s">
        <v>200</v>
      </c>
      <c r="B23" s="114"/>
      <c r="C23" s="114"/>
      <c r="D23" s="249">
        <f>SUM(E23:K23)</f>
        <v>284421.9654574357</v>
      </c>
      <c r="E23" s="249">
        <f t="shared" ref="E23:K23" si="2">E22+E20</f>
        <v>3606.3657859922287</v>
      </c>
      <c r="F23" s="249">
        <f>F22+F20+F15</f>
        <v>211487.95651253418</v>
      </c>
      <c r="G23" s="249">
        <f>G22+G20+G15</f>
        <v>30373.854764966018</v>
      </c>
      <c r="H23" s="249">
        <f t="shared" si="2"/>
        <v>3654.4109353794029</v>
      </c>
      <c r="I23" s="249">
        <f t="shared" si="2"/>
        <v>581.67738497010691</v>
      </c>
      <c r="J23" s="249">
        <f t="shared" si="2"/>
        <v>355.37872449905205</v>
      </c>
      <c r="K23" s="503">
        <f t="shared" si="2"/>
        <v>34362.321349094709</v>
      </c>
    </row>
    <row r="24" spans="1:11" ht="9" customHeight="1" thickBot="1">
      <c r="A24" s="210"/>
      <c r="B24" s="114"/>
      <c r="C24" s="114"/>
      <c r="D24" s="114"/>
      <c r="E24" s="114"/>
      <c r="F24" s="114"/>
      <c r="G24" s="114"/>
      <c r="H24" s="114"/>
      <c r="I24" s="114"/>
      <c r="J24" s="114"/>
      <c r="K24" s="211"/>
    </row>
    <row r="25" spans="1:11" ht="15.75" thickBot="1">
      <c r="A25" s="541" t="s">
        <v>251</v>
      </c>
      <c r="B25" s="504"/>
      <c r="C25" s="504"/>
      <c r="D25" s="504"/>
      <c r="E25" s="504"/>
      <c r="F25" s="504"/>
      <c r="G25" s="504"/>
      <c r="H25" s="504"/>
      <c r="I25" s="504"/>
      <c r="J25" s="504"/>
      <c r="K25" s="434"/>
    </row>
    <row r="26" spans="1:11">
      <c r="A26" s="511" t="s">
        <v>384</v>
      </c>
      <c r="B26" s="114"/>
      <c r="C26" s="114"/>
      <c r="D26" s="114"/>
      <c r="E26" s="114"/>
      <c r="F26" s="114"/>
      <c r="G26" s="114"/>
      <c r="H26" s="114"/>
      <c r="I26" s="114"/>
      <c r="J26" s="114"/>
      <c r="K26" s="211"/>
    </row>
    <row r="27" spans="1:11">
      <c r="A27" s="512" t="s">
        <v>293</v>
      </c>
      <c r="B27" s="114"/>
      <c r="C27" s="114"/>
      <c r="D27" s="527">
        <f>SUM(E27:J27)</f>
        <v>50348.331259948056</v>
      </c>
      <c r="E27" s="527">
        <v>467.93586585770493</v>
      </c>
      <c r="F27" s="527">
        <v>45546.993761621132</v>
      </c>
      <c r="G27" s="527">
        <v>2368.6921138726989</v>
      </c>
      <c r="H27" s="527">
        <v>1956.1073403713347</v>
      </c>
      <c r="I27" s="527">
        <v>8.6021782251836978</v>
      </c>
      <c r="J27" s="527">
        <v>0</v>
      </c>
      <c r="K27" s="211"/>
    </row>
    <row r="28" spans="1:11">
      <c r="A28" s="512" t="s">
        <v>294</v>
      </c>
      <c r="B28" s="114"/>
      <c r="C28" s="114"/>
      <c r="D28" s="527">
        <f>SUM(E28:J28)</f>
        <v>116680.97507033771</v>
      </c>
      <c r="E28" s="527">
        <v>2821.9350286129988</v>
      </c>
      <c r="F28" s="527">
        <v>95922.827734216495</v>
      </c>
      <c r="G28" s="527">
        <v>16064.034658111157</v>
      </c>
      <c r="H28" s="527">
        <v>592.70405075293013</v>
      </c>
      <c r="I28" s="527">
        <v>788.03938219865074</v>
      </c>
      <c r="J28" s="527">
        <v>491.4342164454834</v>
      </c>
      <c r="K28" s="211"/>
    </row>
    <row r="29" spans="1:11">
      <c r="A29" s="513" t="s">
        <v>295</v>
      </c>
      <c r="B29" s="245"/>
      <c r="C29" s="245"/>
      <c r="D29" s="527">
        <f>SUM(D27:D28)</f>
        <v>167029.30633028576</v>
      </c>
      <c r="E29" s="114"/>
      <c r="F29" s="114"/>
      <c r="G29" s="114"/>
      <c r="H29" s="114"/>
      <c r="I29" s="114"/>
      <c r="J29" s="114"/>
      <c r="K29" s="211"/>
    </row>
    <row r="30" spans="1:11">
      <c r="A30" s="533" t="s">
        <v>253</v>
      </c>
      <c r="B30" s="114"/>
      <c r="C30" s="114"/>
      <c r="D30" s="114"/>
      <c r="E30" s="114"/>
      <c r="F30" s="114"/>
      <c r="G30" s="114"/>
      <c r="H30" s="114"/>
      <c r="I30" s="114"/>
      <c r="J30" s="114"/>
      <c r="K30" s="211"/>
    </row>
    <row r="31" spans="1:11">
      <c r="A31" s="358" t="s">
        <v>254</v>
      </c>
      <c r="B31" s="114"/>
      <c r="C31" s="114"/>
      <c r="D31" s="215">
        <f>SUM((HLOOKUP($A$2,'Expense Input File'!$A$12:$E$44,3,FALSE)),(HLOOKUP($A$2,'Expense Input File'!$A$12:$E$44,4,FALSE)),(HLOOKUP($A$2,'Expense Input File'!$A$12:$E$44,5,FALSE)), (HLOOKUP($A$2,'Expense Input File'!$A$12:$E$44,6,FALSE)),(HLOOKUP($A$2,'Expense Input File'!$A$12:$E$44,7,FALSE)))-$K$31-$F$31</f>
        <v>26270.813999999991</v>
      </c>
      <c r="E31" s="114"/>
      <c r="F31" s="215">
        <f>(HLOOKUP($A$2,'Expense Input File'!$A$12:$E$44,33,FALSE))</f>
        <v>1100</v>
      </c>
      <c r="G31" s="114"/>
      <c r="H31" s="114"/>
      <c r="I31" s="114"/>
      <c r="J31" s="114"/>
      <c r="K31" s="214">
        <f>SUM((HLOOKUP($A$2,'Expense Input File'!$A$12:$E$44,3,FALSE)),(HLOOKUP($A$2,'Expense Input File'!$A$12:$E$44,4,FALSE)),(HLOOKUP($A$2,'Expense Input File'!$A$12:$E$44,5,FALSE)), (HLOOKUP($A$2,'Expense Input File'!$A$12:$E$44,6,FALSE)))-(HLOOKUP($A$2,'Expense Input File'!$A$12:$E$44,8,FALSE))-(HLOOKUP($A$2,'Expense Input File'!$A$12:$E$44,33,FALSE))</f>
        <v>59715.184000000001</v>
      </c>
    </row>
    <row r="32" spans="1:11">
      <c r="A32" s="358" t="s">
        <v>255</v>
      </c>
      <c r="B32" s="114"/>
      <c r="C32" s="114"/>
      <c r="D32" s="215">
        <f>HLOOKUP($A$2,'Expense Input File'!$A$2:$E$10,4,FALSE)</f>
        <v>178125.06200000001</v>
      </c>
      <c r="E32" s="114"/>
      <c r="F32" s="114"/>
      <c r="G32" s="114"/>
      <c r="H32" s="114"/>
      <c r="I32" s="114"/>
      <c r="J32" s="114"/>
      <c r="K32" s="211"/>
    </row>
    <row r="33" spans="1:12" ht="5.25" customHeight="1">
      <c r="A33" s="358"/>
      <c r="B33" s="114"/>
      <c r="C33" s="114"/>
      <c r="D33" s="215"/>
      <c r="E33" s="114"/>
      <c r="F33" s="114"/>
      <c r="G33" s="114"/>
      <c r="H33" s="114"/>
      <c r="I33" s="114"/>
      <c r="J33" s="114"/>
      <c r="K33" s="211"/>
    </row>
    <row r="34" spans="1:12">
      <c r="A34" s="534" t="s">
        <v>267</v>
      </c>
      <c r="B34" s="114"/>
      <c r="C34" s="114"/>
      <c r="D34" s="224">
        <f>SUM(D31:D32)</f>
        <v>204395.87599999999</v>
      </c>
      <c r="E34" s="114"/>
      <c r="F34" s="114"/>
      <c r="G34" s="114"/>
      <c r="H34" s="114"/>
      <c r="I34" s="114"/>
      <c r="J34" s="114"/>
      <c r="K34" s="211"/>
    </row>
    <row r="35" spans="1:12">
      <c r="A35" s="514" t="s">
        <v>268</v>
      </c>
      <c r="B35" s="114"/>
      <c r="C35" s="114"/>
      <c r="D35" s="224">
        <f>D34-D36</f>
        <v>61611.890147383674</v>
      </c>
      <c r="E35" s="542">
        <f>(E27/D27)*D35</f>
        <v>572.6190410243106</v>
      </c>
      <c r="F35" s="224">
        <f>(F27/D27)*D35</f>
        <v>55736.432687232344</v>
      </c>
      <c r="G35" s="224">
        <f>(G27/D27)*D35</f>
        <v>2898.5985167892395</v>
      </c>
      <c r="H35" s="224">
        <f>(H27/D27)*D35</f>
        <v>2393.7133079785385</v>
      </c>
      <c r="I35" s="224">
        <f>(I27/D27)*D35</f>
        <v>10.526594359242337</v>
      </c>
      <c r="J35" s="224">
        <f>(J27/D27)*D35</f>
        <v>0</v>
      </c>
      <c r="K35" s="211"/>
    </row>
    <row r="36" spans="1:12">
      <c r="A36" s="514" t="s">
        <v>270</v>
      </c>
      <c r="B36" s="114"/>
      <c r="C36" s="114"/>
      <c r="D36" s="215">
        <f>((D28/D29)*D34)</f>
        <v>142783.98585261632</v>
      </c>
      <c r="E36" s="542">
        <f>(E28/D28)*D36</f>
        <v>3453.2376075841676</v>
      </c>
      <c r="F36" s="224">
        <f>(F28/D28)*D36</f>
        <v>117381.97825214385</v>
      </c>
      <c r="G36" s="224">
        <f>(G28/D28)*D36</f>
        <v>19657.762509929315</v>
      </c>
      <c r="H36" s="224">
        <f>(H28/D28)*D36</f>
        <v>725.29944788753141</v>
      </c>
      <c r="I36" s="224">
        <f>(I28/D28)*D36</f>
        <v>964.33376504890896</v>
      </c>
      <c r="J36" s="224">
        <f>(J28/D28)*D36</f>
        <v>601.37427002254822</v>
      </c>
      <c r="K36" s="211"/>
    </row>
    <row r="37" spans="1:12">
      <c r="A37" s="515" t="s">
        <v>269</v>
      </c>
      <c r="B37" s="245"/>
      <c r="C37" s="245"/>
      <c r="D37" s="224">
        <f>SUM(E37:J37)</f>
        <v>204395.87600000002</v>
      </c>
      <c r="E37" s="224">
        <f t="shared" ref="E37:J37" si="3">SUM(E35:E36)</f>
        <v>4025.8566486084783</v>
      </c>
      <c r="F37" s="224">
        <f t="shared" si="3"/>
        <v>173118.41093937619</v>
      </c>
      <c r="G37" s="224">
        <f t="shared" si="3"/>
        <v>22556.361026718554</v>
      </c>
      <c r="H37" s="224">
        <f t="shared" si="3"/>
        <v>3119.0127558660697</v>
      </c>
      <c r="I37" s="224">
        <f t="shared" si="3"/>
        <v>974.86035940815134</v>
      </c>
      <c r="J37" s="224">
        <f t="shared" si="3"/>
        <v>601.37427002254822</v>
      </c>
      <c r="K37" s="211"/>
    </row>
    <row r="38" spans="1:12">
      <c r="A38" s="516" t="s">
        <v>21</v>
      </c>
      <c r="B38" s="114"/>
      <c r="C38" s="114"/>
      <c r="D38" s="535">
        <f>K38</f>
        <v>11757.597</v>
      </c>
      <c r="E38" s="119"/>
      <c r="F38" s="119"/>
      <c r="G38" s="119"/>
      <c r="H38" s="119"/>
      <c r="I38" s="119"/>
      <c r="J38" s="119"/>
      <c r="K38" s="324">
        <f>SUM((HLOOKUP($A$2,'Expense Input File'!$A$12:$E$40,24,FALSE)),(HLOOKUP($A$2,'Expense Input File'!$A$12:$E$40,25,FALSE)),(HLOOKUP($A$2,'Expense Input File'!$A$12:$E$40,26,FALSE)),(HLOOKUP($A$2,'Expense Input File'!$A$12:$E$40,27,FALSE)),(HLOOKUP($A$2,'Expense Input File'!$A$12:$E$40,28,FALSE)))</f>
        <v>11757.597</v>
      </c>
    </row>
    <row r="39" spans="1:12">
      <c r="A39" s="517" t="s">
        <v>271</v>
      </c>
      <c r="B39" s="245"/>
      <c r="C39" s="245"/>
      <c r="D39" s="249">
        <f>SUM(E39:K39)</f>
        <v>276968.65700000001</v>
      </c>
      <c r="E39" s="249">
        <f t="shared" ref="E39:J39" si="4">E37</f>
        <v>4025.8566486084783</v>
      </c>
      <c r="F39" s="249">
        <f>F37+F31</f>
        <v>174218.41093937619</v>
      </c>
      <c r="G39" s="249">
        <f t="shared" si="4"/>
        <v>22556.361026718554</v>
      </c>
      <c r="H39" s="249">
        <f t="shared" si="4"/>
        <v>3119.0127558660697</v>
      </c>
      <c r="I39" s="249">
        <f t="shared" si="4"/>
        <v>974.86035940815134</v>
      </c>
      <c r="J39" s="249">
        <f t="shared" si="4"/>
        <v>601.37427002254822</v>
      </c>
      <c r="K39" s="503">
        <f>K38+K31</f>
        <v>71472.781000000003</v>
      </c>
    </row>
    <row r="40" spans="1:12">
      <c r="A40" s="533" t="s">
        <v>272</v>
      </c>
      <c r="B40" s="114"/>
      <c r="C40" s="114"/>
      <c r="D40" s="114"/>
      <c r="E40" s="114"/>
      <c r="F40" s="114"/>
      <c r="G40" s="114"/>
      <c r="H40" s="114"/>
      <c r="I40" s="114"/>
      <c r="J40" s="114"/>
      <c r="K40" s="211"/>
    </row>
    <row r="41" spans="1:12">
      <c r="A41" s="518" t="s">
        <v>31</v>
      </c>
      <c r="B41" s="114"/>
      <c r="C41" s="114"/>
      <c r="D41" s="215">
        <f>SUM((HLOOKUP($A$2,'Expense Input File'!$A$12:$E$44,10,FALSE)),(HLOOKUP($A$2,'Expense Input File'!$A$12:$E$44,11,FALSE)),(HLOOKUP($A$2,'Expense Input File'!$A$12:$E$44,12,FALSE)),(HLOOKUP($A$2,'Expense Input File'!$A$12:$E$44,13,FALSE)))</f>
        <v>16376.634999999998</v>
      </c>
      <c r="E41" s="215">
        <f>(E39/D39)*D41</f>
        <v>238.04132067039015</v>
      </c>
      <c r="F41" s="215">
        <f>(F39/D39)*D41</f>
        <v>10301.20648718086</v>
      </c>
      <c r="G41" s="215">
        <f>(G39/D39)*D41</f>
        <v>1333.7151411424686</v>
      </c>
      <c r="H41" s="215">
        <f>(H39/D39)*D41</f>
        <v>184.4213493917571</v>
      </c>
      <c r="I41" s="215">
        <f>(I39/D39)*D41</f>
        <v>57.641656839156745</v>
      </c>
      <c r="J41" s="215">
        <f>(J39/D39)*D41</f>
        <v>35.558127859033206</v>
      </c>
      <c r="K41" s="214">
        <f>(K39/D39)*D41</f>
        <v>4226.0509169163315</v>
      </c>
    </row>
    <row r="42" spans="1:12">
      <c r="A42" s="518" t="s">
        <v>32</v>
      </c>
      <c r="B42" s="114"/>
      <c r="C42" s="114"/>
      <c r="D42" s="215">
        <f>SUM((HLOOKUP($A$2,'Expense Input File'!$A$12:$E$43,14,FALSE)),(HLOOKUP($A$2,'Expense Input File'!$A$12:$E$43,16,FALSE)),(HLOOKUP($A$2,'Expense Input File'!$A$12:$E$43,17,FALSE)),(HLOOKUP($A$2,'Expense Input File'!$A$12:$E$43,18,FALSE)),(HLOOKUP($A$2,'Expense Input File'!$A$12:$E$43,19,FALSE)),(HLOOKUP($A$2,'Expense Input File'!$A$12:$E$43,20,FALSE)),(HLOOKUP($A$2,'Expense Input File'!$A$12:$E$43,21,FALSE)),(HLOOKUP($A$2,'Expense Input File'!$A$12:$E$43,30,FALSE)),(HLOOKUP($A$2,'Expense Input File'!$A$12:$E$43,31,FALSE)),(HLOOKUP($A$2,'Expense Input File'!$A$12:$E$43,32,FALSE)))</f>
        <v>52787.093999999997</v>
      </c>
      <c r="E42" s="215">
        <f>(E39/D39)*D42</f>
        <v>767.28275192748868</v>
      </c>
      <c r="F42" s="215">
        <f>(F39/D39)*D42</f>
        <v>33204.059023860878</v>
      </c>
      <c r="G42" s="215">
        <f>(G39/D39)*D42</f>
        <v>4298.9873392617446</v>
      </c>
      <c r="H42" s="215">
        <f>(H39/D39)*D42</f>
        <v>594.44856076657538</v>
      </c>
      <c r="I42" s="215">
        <f>(I39/D39)*D42</f>
        <v>185.79736056181932</v>
      </c>
      <c r="J42" s="215">
        <f>(J39/D39)*D42</f>
        <v>114.61513539007279</v>
      </c>
      <c r="K42" s="214">
        <f>(K39/D39)*D42</f>
        <v>13621.903828231416</v>
      </c>
    </row>
    <row r="43" spans="1:12">
      <c r="A43" s="518" t="s">
        <v>274</v>
      </c>
      <c r="B43" s="114"/>
      <c r="C43" s="114"/>
      <c r="D43" s="215">
        <f>HLOOKUP($A$2,'Expense Input File'!$A$2:$E$10,3,FALSE)</f>
        <v>57717.508000000002</v>
      </c>
      <c r="E43" s="215">
        <f>(E39/D39)*(D43-(HLOOKUP($A$2,'Expense Input File'!$A$2:$E$10,9,FALSE)))</f>
        <v>750.1179578576606</v>
      </c>
      <c r="F43" s="215">
        <f>(F39/D39)*(D43-(HLOOKUP($A$2,'Expense Input File'!$A$2:$E$10,9,FALSE)))</f>
        <v>32461.25484379135</v>
      </c>
      <c r="G43" s="215">
        <f>(G39/D39)*(D43-(HLOOKUP($A$2,'Expense Input File'!$A$2:$E$10,9,FALSE)))</f>
        <v>4202.8151886407968</v>
      </c>
      <c r="H43" s="215">
        <f>(H39/D39)*(D43-(HLOOKUP($A$2,'Expense Input File'!$A$2:$E$10,9,FALSE)))</f>
        <v>581.15022048063577</v>
      </c>
      <c r="I43" s="215">
        <f>(I39/D39)*(D43-(HLOOKUP($A$2,'Expense Input File'!$A$2:$E$10,9,FALSE)))</f>
        <v>181.64090920832584</v>
      </c>
      <c r="J43" s="215">
        <f>(J39/D39)*(D43-(HLOOKUP($A$2,'Expense Input File'!$A$2:$E$10,9,FALSE)))</f>
        <v>112.05109339732124</v>
      </c>
      <c r="K43" s="214">
        <f>((K39/D39)*(D43-(HLOOKUP($A$2,'Expense Input File'!$A$2:$E$10,9,FALSE))))+(HLOOKUP($A$2,'Expense Input File'!$A$2:$E$10,9,FALSE))</f>
        <v>19428.477786623909</v>
      </c>
    </row>
    <row r="44" spans="1:12">
      <c r="A44" s="518" t="s">
        <v>291</v>
      </c>
      <c r="B44" s="114"/>
      <c r="C44" s="114"/>
      <c r="D44" s="323">
        <f>SUM((HLOOKUP($A$2,'Expense Input File'!$A$2:$E$10,7,FALSE)),(HLOOKUP($A$2,'Expense Input File'!$A$2:$E$10,8,FALSE)))</f>
        <v>87067.832999999999</v>
      </c>
      <c r="E44" s="323">
        <f>(E39/D39)*D44</f>
        <v>1265.5678016411173</v>
      </c>
      <c r="F44" s="323">
        <f>(F39/D39)*D44</f>
        <v>54767.278267139729</v>
      </c>
      <c r="G44" s="323">
        <f>(G39/D39)*D44</f>
        <v>7090.8148822126086</v>
      </c>
      <c r="H44" s="323">
        <f>(H39/D39)*D44</f>
        <v>980.49246688810979</v>
      </c>
      <c r="I44" s="323">
        <f>(I39/D39)*D44</f>
        <v>306.45698286094841</v>
      </c>
      <c r="J44" s="323">
        <f>(J39/D39)*D44</f>
        <v>189.04794166951584</v>
      </c>
      <c r="K44" s="324">
        <f>(K39/D39)*D44</f>
        <v>22468.174657587966</v>
      </c>
    </row>
    <row r="45" spans="1:12">
      <c r="A45" s="519" t="s">
        <v>290</v>
      </c>
      <c r="B45" s="114"/>
      <c r="C45" s="114"/>
      <c r="D45" s="249">
        <f>SUM(D41:D44)</f>
        <v>213949.07</v>
      </c>
      <c r="E45" s="249">
        <f t="shared" ref="E45:J45" si="5">SUM(E41:E44)</f>
        <v>3021.0098320966567</v>
      </c>
      <c r="F45" s="249">
        <f t="shared" si="5"/>
        <v>130733.79862197282</v>
      </c>
      <c r="G45" s="249">
        <f t="shared" si="5"/>
        <v>16926.332551257619</v>
      </c>
      <c r="H45" s="249">
        <f t="shared" si="5"/>
        <v>2340.512597527078</v>
      </c>
      <c r="I45" s="249">
        <f t="shared" si="5"/>
        <v>731.53690947025029</v>
      </c>
      <c r="J45" s="249">
        <f t="shared" si="5"/>
        <v>451.27229831594309</v>
      </c>
      <c r="K45" s="503">
        <f>SUM(K41:K44)</f>
        <v>59744.607189359624</v>
      </c>
      <c r="L45" s="105"/>
    </row>
    <row r="46" spans="1:12" ht="15.75" thickBot="1">
      <c r="A46" s="520" t="s">
        <v>263</v>
      </c>
      <c r="B46" s="114"/>
      <c r="C46" s="114"/>
      <c r="D46" s="249">
        <f t="shared" ref="D46:K46" si="6">D45+D39</f>
        <v>490917.72700000001</v>
      </c>
      <c r="E46" s="249">
        <f t="shared" si="6"/>
        <v>7046.8664807051355</v>
      </c>
      <c r="F46" s="249">
        <f t="shared" si="6"/>
        <v>304952.20956134901</v>
      </c>
      <c r="G46" s="249">
        <f t="shared" si="6"/>
        <v>39482.69357797617</v>
      </c>
      <c r="H46" s="249">
        <f t="shared" si="6"/>
        <v>5459.5253533931482</v>
      </c>
      <c r="I46" s="249">
        <f t="shared" si="6"/>
        <v>1706.3972688784015</v>
      </c>
      <c r="J46" s="249">
        <f t="shared" si="6"/>
        <v>1052.6465683384913</v>
      </c>
      <c r="K46" s="503">
        <f t="shared" si="6"/>
        <v>131217.38818935963</v>
      </c>
    </row>
    <row r="47" spans="1:12" ht="15.75" thickBot="1">
      <c r="A47" s="541" t="s">
        <v>180</v>
      </c>
      <c r="B47" s="544"/>
      <c r="C47" s="544"/>
      <c r="D47" s="544"/>
      <c r="E47" s="544"/>
      <c r="F47" s="544"/>
      <c r="G47" s="544"/>
      <c r="H47" s="544"/>
      <c r="I47" s="544"/>
      <c r="J47" s="544"/>
      <c r="K47" s="545"/>
    </row>
    <row r="48" spans="1:12">
      <c r="A48" s="358" t="s">
        <v>279</v>
      </c>
      <c r="B48" s="114"/>
      <c r="C48" s="114"/>
      <c r="D48" s="215"/>
      <c r="E48" s="114"/>
      <c r="F48" s="114"/>
      <c r="G48" s="114"/>
      <c r="H48" s="114"/>
      <c r="I48" s="114"/>
      <c r="J48" s="114"/>
      <c r="K48" s="211"/>
    </row>
    <row r="49" spans="1:11">
      <c r="A49" s="358" t="s">
        <v>277</v>
      </c>
      <c r="B49" s="114"/>
      <c r="C49" s="114"/>
      <c r="D49" s="215">
        <f>(HLOOKUP($A$2,'Expense Input File'!$A$12:$E$65,37,FALSE))</f>
        <v>8867</v>
      </c>
      <c r="E49" s="215"/>
      <c r="F49" s="362">
        <v>8675.2963647959186</v>
      </c>
      <c r="G49" s="215"/>
      <c r="H49" s="215"/>
      <c r="I49" s="362">
        <v>191.70363520408162</v>
      </c>
      <c r="J49" s="215"/>
      <c r="K49" s="211"/>
    </row>
    <row r="50" spans="1:11">
      <c r="A50" s="358" t="s">
        <v>278</v>
      </c>
      <c r="B50" s="114"/>
      <c r="C50" s="114"/>
      <c r="D50" s="215">
        <f>(HLOOKUP($A$2,'Expense Input File'!$A$12:$E$65,38,FALSE))</f>
        <v>589.23199999999997</v>
      </c>
      <c r="E50" s="215"/>
      <c r="F50" s="114"/>
      <c r="G50" s="224">
        <f>D50</f>
        <v>589.23199999999997</v>
      </c>
      <c r="H50" s="114"/>
      <c r="I50" s="114"/>
      <c r="J50" s="114"/>
      <c r="K50" s="211"/>
    </row>
    <row r="51" spans="1:11">
      <c r="A51" s="358" t="s">
        <v>276</v>
      </c>
      <c r="B51" s="114"/>
      <c r="C51" s="114"/>
      <c r="D51" s="215">
        <f>(HLOOKUP($A$2,'Expense Input File'!$A$12:$E$65,41,FALSE))</f>
        <v>225</v>
      </c>
      <c r="E51" s="215"/>
      <c r="F51" s="224">
        <f>D51</f>
        <v>225</v>
      </c>
      <c r="G51" s="114"/>
      <c r="H51" s="114"/>
      <c r="I51" s="114"/>
      <c r="J51" s="114"/>
      <c r="K51" s="211"/>
    </row>
    <row r="52" spans="1:11">
      <c r="A52" s="358" t="s">
        <v>409</v>
      </c>
      <c r="B52" s="114"/>
      <c r="C52" s="114"/>
      <c r="D52" s="215">
        <f>(HLOOKUP($A$2,'Expense Input File'!$A$12:$E$65,39,FALSE))</f>
        <v>1272.635</v>
      </c>
      <c r="E52" s="215"/>
      <c r="F52" s="362">
        <v>801.6042714575409</v>
      </c>
      <c r="G52" s="362">
        <v>471.03072854245903</v>
      </c>
      <c r="H52" s="114"/>
      <c r="I52" s="114"/>
      <c r="J52" s="114"/>
      <c r="K52" s="211"/>
    </row>
    <row r="53" spans="1:11">
      <c r="A53" s="358" t="s">
        <v>275</v>
      </c>
      <c r="B53" s="114"/>
      <c r="C53" s="114"/>
      <c r="D53" s="215">
        <f>HLOOKUP($A$2,'Expense Input File'!$A$12:$E$66,42,FALSE)</f>
        <v>1996.009</v>
      </c>
      <c r="E53" s="215">
        <f>(E28/D28)*D53</f>
        <v>48.273574257768679</v>
      </c>
      <c r="F53" s="215">
        <f>(F28/D28)*D53</f>
        <v>1640.908702961455</v>
      </c>
      <c r="G53" s="215">
        <f>(G28/D28)*D53</f>
        <v>274.80022115493097</v>
      </c>
      <c r="H53" s="215">
        <f>(H28/D28)*D53</f>
        <v>10.139121814213009</v>
      </c>
      <c r="I53" s="215">
        <f>(I28/D28)*D53</f>
        <v>13.480635538696429</v>
      </c>
      <c r="J53" s="215">
        <f>(J28/D28)*D53</f>
        <v>8.406744272935855</v>
      </c>
      <c r="K53" s="211"/>
    </row>
    <row r="54" spans="1:11">
      <c r="A54" s="358" t="s">
        <v>264</v>
      </c>
      <c r="B54" s="245"/>
      <c r="C54" s="114"/>
      <c r="D54" s="323">
        <f>K54</f>
        <v>88569.485113999996</v>
      </c>
      <c r="E54" s="323"/>
      <c r="F54" s="119"/>
      <c r="G54" s="119"/>
      <c r="H54" s="119"/>
      <c r="I54" s="119"/>
      <c r="J54" s="119"/>
      <c r="K54" s="324">
        <f>HLOOKUP($A$2,'Expense Input File'!$A$12:$E$65,35,FALSE)</f>
        <v>88569.485113999996</v>
      </c>
    </row>
    <row r="55" spans="1:11">
      <c r="A55" s="526" t="s">
        <v>288</v>
      </c>
      <c r="B55" s="114"/>
      <c r="C55" s="114"/>
      <c r="D55" s="362">
        <f>SUM(D49:D54)</f>
        <v>101519.361114</v>
      </c>
      <c r="E55" s="362">
        <f t="shared" ref="E55:K55" si="7">SUM(E49:E54)</f>
        <v>48.273574257768679</v>
      </c>
      <c r="F55" s="362">
        <f t="shared" si="7"/>
        <v>11342.809339214915</v>
      </c>
      <c r="G55" s="362">
        <f t="shared" si="7"/>
        <v>1335.06294969739</v>
      </c>
      <c r="H55" s="362">
        <f t="shared" si="7"/>
        <v>10.139121814213009</v>
      </c>
      <c r="I55" s="362">
        <f t="shared" si="7"/>
        <v>205.18427074277804</v>
      </c>
      <c r="J55" s="362">
        <f t="shared" si="7"/>
        <v>8.406744272935855</v>
      </c>
      <c r="K55" s="363">
        <f t="shared" si="7"/>
        <v>88569.485113999996</v>
      </c>
    </row>
    <row r="56" spans="1:11">
      <c r="A56" s="358" t="s">
        <v>280</v>
      </c>
      <c r="B56" s="114"/>
      <c r="C56" s="114"/>
      <c r="D56" s="114"/>
      <c r="E56" s="215"/>
      <c r="F56" s="114"/>
      <c r="G56" s="114"/>
      <c r="H56" s="114"/>
      <c r="I56" s="114"/>
      <c r="J56" s="114"/>
      <c r="K56" s="211"/>
    </row>
    <row r="57" spans="1:11">
      <c r="A57" s="358" t="s">
        <v>27</v>
      </c>
      <c r="B57" s="114"/>
      <c r="C57" s="114"/>
      <c r="D57" s="215">
        <f>SUM(E57:K57)</f>
        <v>96.72</v>
      </c>
      <c r="E57" s="215">
        <f>(HLOOKUP($A$2,'Expense Input File'!$A$45:$E$67,22,FALSE))*E5</f>
        <v>1.3537071815549562</v>
      </c>
      <c r="F57" s="215">
        <f>(HLOOKUP($A$2,'Expense Input File'!$A$45:$E$67,22,FALSE))*F5</f>
        <v>78.96902087436375</v>
      </c>
      <c r="G57" s="215">
        <f>(HLOOKUP($A$2,'Expense Input File'!$A$45:$E$67,22,FALSE))*G5</f>
        <v>11.850031409439978</v>
      </c>
      <c r="H57" s="215">
        <f>(HLOOKUP($A$2,'Expense Input File'!$A$45:$E$67,22,FALSE))*H5</f>
        <v>1.3897258222027105</v>
      </c>
      <c r="I57" s="215">
        <f>(HLOOKUP($A$2,'Expense Input File'!$A$45:$E$67,22,FALSE))*I5</f>
        <v>0.16940967506388754</v>
      </c>
      <c r="J57" s="215">
        <f>(HLOOKUP($A$2,'Expense Input File'!$A$45:$E$67,22,FALSE))*J5</f>
        <v>0.10295260895951105</v>
      </c>
      <c r="K57" s="214">
        <f>((HLOOKUP($A$2,'Expense Input File'!$A$45:$E$67,22,FALSE))*K5)+(HLOOKUP($A$2,'Expense Input File'!$A$45:$E$67,23,FALSE))</f>
        <v>2.8851524284152106</v>
      </c>
    </row>
    <row r="58" spans="1:11">
      <c r="A58" s="358" t="s">
        <v>28</v>
      </c>
      <c r="B58" s="114"/>
      <c r="C58" s="114"/>
      <c r="D58" s="215">
        <f>HLOOKUP($A$2,'Expense Input File'!$A$12:$E$65,46,FALSE)</f>
        <v>5179.0609999999997</v>
      </c>
      <c r="E58" s="215"/>
      <c r="F58" s="224">
        <f>D58</f>
        <v>5179.0609999999997</v>
      </c>
      <c r="G58" s="224"/>
      <c r="H58" s="224"/>
      <c r="I58" s="224"/>
      <c r="J58" s="224"/>
      <c r="K58" s="226"/>
    </row>
    <row r="59" spans="1:11">
      <c r="A59" s="358" t="s">
        <v>29</v>
      </c>
      <c r="B59" s="114"/>
      <c r="C59" s="114"/>
      <c r="D59" s="215">
        <f>HLOOKUP($A$2,'Expense Input File'!$A$12:$E$65,47,FALSE)</f>
        <v>0</v>
      </c>
      <c r="E59" s="221">
        <f>(E39/D39)*D59</f>
        <v>0</v>
      </c>
      <c r="F59" s="215">
        <f>(F39/D39)*D59</f>
        <v>0</v>
      </c>
      <c r="G59" s="215">
        <f>(G39/D39)*D59</f>
        <v>0</v>
      </c>
      <c r="H59" s="215">
        <f>(H39/D39)*D59</f>
        <v>0</v>
      </c>
      <c r="I59" s="215">
        <f>(I39/D39)*D59</f>
        <v>0</v>
      </c>
      <c r="J59" s="215">
        <f>(J39/D39)*D59</f>
        <v>0</v>
      </c>
      <c r="K59" s="214">
        <f>(K39/D39)*D59</f>
        <v>0</v>
      </c>
    </row>
    <row r="60" spans="1:11">
      <c r="A60" s="358" t="s">
        <v>30</v>
      </c>
      <c r="B60" s="114"/>
      <c r="C60" s="114"/>
      <c r="D60" s="323">
        <f>HLOOKUP($A$2,'Expense Input File'!$A$12:$E$65,48,FALSE)</f>
        <v>5187.7929999999997</v>
      </c>
      <c r="E60" s="323"/>
      <c r="F60" s="119"/>
      <c r="G60" s="119"/>
      <c r="H60" s="119"/>
      <c r="I60" s="119"/>
      <c r="J60" s="119"/>
      <c r="K60" s="543">
        <f>D60</f>
        <v>5187.7929999999997</v>
      </c>
    </row>
    <row r="61" spans="1:11">
      <c r="A61" s="526" t="s">
        <v>289</v>
      </c>
      <c r="B61" s="114"/>
      <c r="C61" s="114"/>
      <c r="D61" s="362">
        <f>SUM(D57:D60)</f>
        <v>10463.574000000001</v>
      </c>
      <c r="E61" s="362">
        <f t="shared" ref="E61:J61" si="8">SUM(E57:E60)</f>
        <v>1.3537071815549562</v>
      </c>
      <c r="F61" s="362">
        <f t="shared" si="8"/>
        <v>5258.0300208743638</v>
      </c>
      <c r="G61" s="362">
        <f t="shared" si="8"/>
        <v>11.850031409439978</v>
      </c>
      <c r="H61" s="362">
        <f t="shared" si="8"/>
        <v>1.3897258222027105</v>
      </c>
      <c r="I61" s="362">
        <f t="shared" si="8"/>
        <v>0.16940967506388754</v>
      </c>
      <c r="J61" s="362">
        <f t="shared" si="8"/>
        <v>0.10295260895951105</v>
      </c>
      <c r="K61" s="363">
        <f>SUM(K57:K60)</f>
        <v>5190.6781524284152</v>
      </c>
    </row>
    <row r="62" spans="1:11" ht="15.75" thickBot="1">
      <c r="A62" s="537" t="s">
        <v>281</v>
      </c>
      <c r="B62" s="537"/>
      <c r="C62" s="537"/>
      <c r="D62" s="505">
        <f>SUM(E62:K62)</f>
        <v>111982.93511399999</v>
      </c>
      <c r="E62" s="505">
        <f>E61+E55</f>
        <v>49.627281439323639</v>
      </c>
      <c r="F62" s="505">
        <f t="shared" ref="F62:K62" si="9">F61+F55</f>
        <v>16600.839360089278</v>
      </c>
      <c r="G62" s="505">
        <f t="shared" si="9"/>
        <v>1346.9129811068299</v>
      </c>
      <c r="H62" s="505">
        <f t="shared" si="9"/>
        <v>11.528847636415719</v>
      </c>
      <c r="I62" s="505">
        <f t="shared" si="9"/>
        <v>205.35368041784193</v>
      </c>
      <c r="J62" s="505">
        <f t="shared" si="9"/>
        <v>8.5096968818953656</v>
      </c>
      <c r="K62" s="506">
        <f t="shared" si="9"/>
        <v>93760.163266428412</v>
      </c>
    </row>
    <row r="64" spans="1:11">
      <c r="D64" s="192"/>
    </row>
    <row r="65" spans="1:4">
      <c r="A65" s="190"/>
      <c r="B65" s="190"/>
      <c r="C65" s="190"/>
      <c r="D65" s="192"/>
    </row>
    <row r="66" spans="1:4">
      <c r="A66" s="190"/>
      <c r="B66" s="190"/>
      <c r="C66" s="190"/>
    </row>
    <row r="67" spans="1:4">
      <c r="A67" s="190"/>
      <c r="B67" s="190"/>
      <c r="C67" s="190"/>
    </row>
  </sheetData>
  <customSheetViews>
    <customSheetView guid="{2226E858-00AE-4A92-8CF6-5B54D2FA62D4}" showPageBreaks="1" fitToPage="1" topLeftCell="A25">
      <selection activeCell="D32" sqref="D32"/>
      <pageMargins left="0.25" right="0.25" top="0.75" bottom="0.75" header="0.3" footer="0.3"/>
      <pageSetup scale="55" orientation="portrait" r:id="rId1"/>
    </customSheetView>
  </customSheetViews>
  <mergeCells count="2">
    <mergeCell ref="A1:K1"/>
    <mergeCell ref="A2:C2"/>
  </mergeCells>
  <pageMargins left="0.25" right="0.25" top="0.75" bottom="0.75" header="0.3" footer="0.3"/>
  <pageSetup scale="55"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8"/>
  <sheetViews>
    <sheetView workbookViewId="0">
      <selection activeCell="I3" sqref="I3"/>
    </sheetView>
  </sheetViews>
  <sheetFormatPr defaultRowHeight="12.75"/>
  <cols>
    <col min="1" max="1" width="3.85546875" style="549" customWidth="1"/>
    <col min="2" max="3" width="4.7109375" style="549" customWidth="1"/>
    <col min="4" max="4" width="55.42578125" style="549" customWidth="1"/>
    <col min="5" max="5" width="11.85546875" style="549" customWidth="1"/>
    <col min="6" max="6" width="12" style="549" bestFit="1" customWidth="1"/>
    <col min="7" max="7" width="3.140625" style="549" customWidth="1"/>
    <col min="8" max="9" width="10.28515625" style="549" bestFit="1" customWidth="1"/>
    <col min="10" max="16384" width="9.140625" style="549"/>
  </cols>
  <sheetData>
    <row r="1" spans="1:13">
      <c r="A1" s="693" t="s">
        <v>429</v>
      </c>
      <c r="B1" s="694"/>
      <c r="C1" s="694"/>
      <c r="D1" s="694"/>
      <c r="E1" s="694"/>
      <c r="F1" s="695"/>
      <c r="G1" s="546"/>
      <c r="H1" s="547"/>
      <c r="I1" s="548"/>
      <c r="J1" s="548"/>
    </row>
    <row r="2" spans="1:13">
      <c r="A2" s="696" t="s">
        <v>84</v>
      </c>
      <c r="B2" s="697"/>
      <c r="C2" s="697"/>
      <c r="D2" s="697"/>
      <c r="E2" s="697"/>
      <c r="F2" s="698"/>
      <c r="G2" s="546"/>
      <c r="I2" s="548"/>
      <c r="J2" s="548"/>
    </row>
    <row r="3" spans="1:13" ht="13.5" thickBot="1">
      <c r="A3" s="690" t="s">
        <v>430</v>
      </c>
      <c r="B3" s="691"/>
      <c r="C3" s="691"/>
      <c r="D3" s="691"/>
      <c r="E3" s="691"/>
      <c r="F3" s="692"/>
      <c r="G3" s="546"/>
      <c r="I3" s="548"/>
      <c r="J3" s="548"/>
    </row>
    <row r="4" spans="1:13">
      <c r="A4" s="598"/>
      <c r="B4" s="599"/>
      <c r="C4" s="599"/>
      <c r="D4" s="599"/>
      <c r="E4" s="599"/>
      <c r="F4" s="600"/>
      <c r="G4" s="546"/>
    </row>
    <row r="5" spans="1:13">
      <c r="A5" s="601"/>
      <c r="B5" s="602"/>
      <c r="C5" s="602"/>
      <c r="D5" s="602"/>
      <c r="E5" s="602" t="s">
        <v>297</v>
      </c>
      <c r="F5" s="603" t="s">
        <v>298</v>
      </c>
      <c r="G5" s="550"/>
    </row>
    <row r="6" spans="1:13">
      <c r="A6" s="601"/>
      <c r="B6" s="602"/>
      <c r="C6" s="602"/>
      <c r="D6" s="602"/>
      <c r="E6" s="602" t="s">
        <v>431</v>
      </c>
      <c r="F6" s="603" t="s">
        <v>432</v>
      </c>
      <c r="G6" s="550"/>
    </row>
    <row r="7" spans="1:13">
      <c r="A7" s="601"/>
      <c r="B7" s="602"/>
      <c r="C7" s="602"/>
      <c r="D7" s="602"/>
      <c r="E7" s="602"/>
      <c r="F7" s="603"/>
      <c r="G7" s="550"/>
    </row>
    <row r="8" spans="1:13">
      <c r="A8" s="604">
        <v>1</v>
      </c>
      <c r="B8" s="605" t="s">
        <v>433</v>
      </c>
      <c r="C8" s="605"/>
      <c r="D8" s="605"/>
      <c r="E8" s="572">
        <v>1059061.9879456772</v>
      </c>
      <c r="F8" s="573">
        <v>1067126.3173375821</v>
      </c>
      <c r="G8" s="553"/>
      <c r="H8" s="553"/>
      <c r="I8" s="553"/>
      <c r="J8" s="553"/>
      <c r="K8" s="553"/>
      <c r="L8" s="553"/>
      <c r="M8" s="553"/>
    </row>
    <row r="9" spans="1:13">
      <c r="A9" s="604"/>
      <c r="B9" s="605"/>
      <c r="C9" s="605"/>
      <c r="D9" s="605"/>
      <c r="E9" s="569"/>
      <c r="F9" s="570"/>
      <c r="H9" s="553"/>
      <c r="I9" s="553"/>
      <c r="J9" s="553"/>
      <c r="K9" s="553"/>
      <c r="L9" s="553"/>
      <c r="M9" s="553"/>
    </row>
    <row r="10" spans="1:13">
      <c r="A10" s="604">
        <v>2</v>
      </c>
      <c r="B10" s="605" t="s">
        <v>62</v>
      </c>
      <c r="C10" s="605"/>
      <c r="D10" s="605"/>
      <c r="E10" s="569"/>
      <c r="F10" s="570"/>
    </row>
    <row r="11" spans="1:13">
      <c r="A11" s="604">
        <v>3</v>
      </c>
      <c r="B11" s="605"/>
      <c r="C11" s="605" t="s">
        <v>14</v>
      </c>
      <c r="D11" s="605"/>
      <c r="E11" s="572">
        <v>167050.00099999999</v>
      </c>
      <c r="F11" s="573">
        <v>168007.32399999999</v>
      </c>
      <c r="H11" s="555"/>
    </row>
    <row r="12" spans="1:13">
      <c r="A12" s="604">
        <v>4</v>
      </c>
      <c r="B12" s="605"/>
      <c r="C12" s="605" t="s">
        <v>15</v>
      </c>
      <c r="D12" s="605"/>
      <c r="E12" s="572">
        <v>56350.642999999996</v>
      </c>
      <c r="F12" s="573">
        <v>57717.508000000002</v>
      </c>
      <c r="H12" s="556"/>
    </row>
    <row r="13" spans="1:13">
      <c r="A13" s="604">
        <v>5</v>
      </c>
      <c r="B13" s="605"/>
      <c r="C13" s="605" t="s">
        <v>323</v>
      </c>
      <c r="D13" s="605"/>
      <c r="E13" s="572">
        <v>176580.17499999999</v>
      </c>
      <c r="F13" s="573">
        <v>178125.06200000001</v>
      </c>
      <c r="H13" s="555"/>
    </row>
    <row r="14" spans="1:13">
      <c r="A14" s="604">
        <v>6</v>
      </c>
      <c r="B14" s="605"/>
      <c r="C14" s="605" t="s">
        <v>434</v>
      </c>
      <c r="D14" s="605"/>
      <c r="E14" s="577">
        <v>119460.11582800001</v>
      </c>
      <c r="F14" s="606">
        <v>111982.93511399999</v>
      </c>
      <c r="H14" s="555"/>
    </row>
    <row r="15" spans="1:13">
      <c r="A15" s="604">
        <v>7</v>
      </c>
      <c r="B15" s="605"/>
      <c r="C15" s="605" t="s">
        <v>64</v>
      </c>
      <c r="D15" s="605"/>
      <c r="E15" s="572">
        <v>93939.626999999993</v>
      </c>
      <c r="F15" s="573">
        <v>95607.17</v>
      </c>
      <c r="H15" s="555"/>
    </row>
    <row r="16" spans="1:13">
      <c r="A16" s="604">
        <v>8</v>
      </c>
      <c r="B16" s="605"/>
      <c r="C16" s="605" t="s">
        <v>65</v>
      </c>
      <c r="D16" s="605"/>
      <c r="E16" s="572">
        <v>-7547.5749999999998</v>
      </c>
      <c r="F16" s="573">
        <v>-8539.3369999999995</v>
      </c>
      <c r="H16" s="555"/>
    </row>
    <row r="17" spans="1:9">
      <c r="A17" s="604">
        <v>9</v>
      </c>
      <c r="B17" s="605"/>
      <c r="C17" s="605" t="s">
        <v>66</v>
      </c>
      <c r="D17" s="605"/>
      <c r="E17" s="572">
        <v>273163.91847353138</v>
      </c>
      <c r="F17" s="573">
        <v>284421.9654574357</v>
      </c>
      <c r="H17" s="555"/>
    </row>
    <row r="18" spans="1:9">
      <c r="A18" s="604">
        <v>10</v>
      </c>
      <c r="B18" s="605" t="s">
        <v>67</v>
      </c>
      <c r="C18" s="605"/>
      <c r="D18" s="605"/>
      <c r="E18" s="572">
        <f>SUM(E11:E17)</f>
        <v>878996.90530153143</v>
      </c>
      <c r="F18" s="573">
        <f>SUM(F11:F17)</f>
        <v>887322.62757143565</v>
      </c>
    </row>
    <row r="19" spans="1:9">
      <c r="A19" s="604"/>
      <c r="B19" s="605"/>
      <c r="C19" s="605"/>
      <c r="D19" s="605"/>
      <c r="E19" s="569"/>
      <c r="F19" s="570"/>
    </row>
    <row r="20" spans="1:9">
      <c r="A20" s="604">
        <v>11</v>
      </c>
      <c r="B20" s="605" t="s">
        <v>68</v>
      </c>
      <c r="C20" s="605"/>
      <c r="D20" s="605"/>
      <c r="E20" s="569"/>
      <c r="F20" s="570"/>
    </row>
    <row r="21" spans="1:9">
      <c r="A21" s="604">
        <v>12</v>
      </c>
      <c r="B21" s="605"/>
      <c r="C21" s="605" t="s">
        <v>68</v>
      </c>
      <c r="D21" s="605"/>
      <c r="E21" s="569"/>
      <c r="F21" s="570"/>
    </row>
    <row r="22" spans="1:9">
      <c r="A22" s="604">
        <v>13</v>
      </c>
      <c r="B22" s="605"/>
      <c r="C22" s="605"/>
      <c r="D22" s="605" t="s">
        <v>69</v>
      </c>
      <c r="E22" s="572">
        <v>1658.904</v>
      </c>
      <c r="F22" s="573">
        <v>1517.8910000000001</v>
      </c>
      <c r="H22" s="555"/>
    </row>
    <row r="23" spans="1:9">
      <c r="A23" s="604">
        <v>14</v>
      </c>
      <c r="B23" s="605"/>
      <c r="C23" s="605"/>
      <c r="D23" s="605" t="s">
        <v>70</v>
      </c>
      <c r="E23" s="572">
        <v>-18968</v>
      </c>
      <c r="F23" s="573">
        <v>-18968</v>
      </c>
      <c r="H23" s="555"/>
    </row>
    <row r="24" spans="1:9">
      <c r="A24" s="604">
        <v>15</v>
      </c>
      <c r="B24" s="605"/>
      <c r="C24" s="605"/>
      <c r="D24" s="605" t="s">
        <v>71</v>
      </c>
      <c r="E24" s="572">
        <v>100998.95000000001</v>
      </c>
      <c r="F24" s="573">
        <v>106597.242</v>
      </c>
      <c r="H24" s="555"/>
    </row>
    <row r="25" spans="1:9">
      <c r="A25" s="604">
        <v>16</v>
      </c>
      <c r="B25" s="605"/>
      <c r="C25" s="605"/>
      <c r="D25" s="605" t="s">
        <v>72</v>
      </c>
      <c r="E25" s="572">
        <v>561</v>
      </c>
      <c r="F25" s="573">
        <v>561</v>
      </c>
      <c r="H25" s="555"/>
    </row>
    <row r="26" spans="1:9">
      <c r="A26" s="604">
        <v>17</v>
      </c>
      <c r="B26" s="605"/>
      <c r="C26" s="605"/>
      <c r="D26" s="605" t="s">
        <v>73</v>
      </c>
      <c r="E26" s="572">
        <v>13964.23</v>
      </c>
      <c r="F26" s="573">
        <v>5110.8459999999995</v>
      </c>
      <c r="H26" s="555"/>
    </row>
    <row r="27" spans="1:9">
      <c r="A27" s="604">
        <v>18</v>
      </c>
      <c r="B27" s="605"/>
      <c r="C27" s="605"/>
      <c r="D27" s="605" t="s">
        <v>205</v>
      </c>
      <c r="E27" s="572">
        <v>77155.657170483697</v>
      </c>
      <c r="F27" s="573">
        <v>97552.262000000002</v>
      </c>
      <c r="H27" s="555"/>
    </row>
    <row r="28" spans="1:9">
      <c r="A28" s="604">
        <v>17</v>
      </c>
      <c r="B28" s="605"/>
      <c r="C28" s="605"/>
      <c r="D28" s="605" t="s">
        <v>112</v>
      </c>
      <c r="E28" s="572">
        <v>0</v>
      </c>
      <c r="F28" s="573">
        <v>555.70799999999997</v>
      </c>
      <c r="G28" s="553"/>
      <c r="H28" s="557"/>
    </row>
    <row r="29" spans="1:9">
      <c r="A29" s="604">
        <v>19</v>
      </c>
      <c r="B29" s="605"/>
      <c r="C29" s="605" t="s">
        <v>74</v>
      </c>
      <c r="D29" s="605"/>
      <c r="E29" s="572">
        <v>-24732.824847516255</v>
      </c>
      <c r="F29" s="573">
        <v>-24819.316651132063</v>
      </c>
      <c r="H29" s="555"/>
    </row>
    <row r="30" spans="1:9">
      <c r="A30" s="604">
        <v>20</v>
      </c>
      <c r="B30" s="605"/>
      <c r="C30" s="605" t="s">
        <v>75</v>
      </c>
      <c r="D30" s="605"/>
      <c r="E30" s="572">
        <v>-2460.8160800000001</v>
      </c>
      <c r="F30" s="573">
        <v>-4128.6661399999994</v>
      </c>
      <c r="H30" s="558"/>
      <c r="I30" s="558"/>
    </row>
    <row r="31" spans="1:9">
      <c r="A31" s="604">
        <v>21</v>
      </c>
      <c r="B31" s="605" t="s">
        <v>76</v>
      </c>
      <c r="C31" s="605"/>
      <c r="D31" s="605"/>
      <c r="E31" s="574">
        <f>SUM(E22:E30)</f>
        <v>148177.10024296746</v>
      </c>
      <c r="F31" s="575">
        <f>SUM(F22:F30)</f>
        <v>163978.96620886796</v>
      </c>
      <c r="H31" s="558"/>
      <c r="I31" s="558"/>
    </row>
    <row r="32" spans="1:9">
      <c r="A32" s="604"/>
      <c r="B32" s="605"/>
      <c r="C32" s="605"/>
      <c r="D32" s="605"/>
      <c r="E32" s="569"/>
      <c r="F32" s="570"/>
    </row>
    <row r="33" spans="1:9">
      <c r="A33" s="604">
        <v>22</v>
      </c>
      <c r="B33" s="605" t="s">
        <v>77</v>
      </c>
      <c r="C33" s="605"/>
      <c r="D33" s="605"/>
      <c r="E33" s="574">
        <f>SUM(E31,E18)</f>
        <v>1027174.0055444989</v>
      </c>
      <c r="F33" s="575">
        <f>SUM(F31,F18)</f>
        <v>1051301.5937803036</v>
      </c>
      <c r="H33" s="558"/>
      <c r="I33" s="558"/>
    </row>
    <row r="34" spans="1:9">
      <c r="A34" s="604"/>
      <c r="B34" s="605"/>
      <c r="C34" s="605"/>
      <c r="D34" s="605"/>
      <c r="E34" s="569"/>
      <c r="F34" s="570"/>
    </row>
    <row r="35" spans="1:9">
      <c r="A35" s="604">
        <v>23</v>
      </c>
      <c r="B35" s="605" t="s">
        <v>435</v>
      </c>
      <c r="C35" s="605"/>
      <c r="D35" s="605"/>
      <c r="E35" s="574">
        <f>E8-E33</f>
        <v>31887.982401178335</v>
      </c>
      <c r="F35" s="575">
        <f>F8-F33</f>
        <v>15824.723557278514</v>
      </c>
    </row>
    <row r="36" spans="1:9" ht="13.5" thickBot="1">
      <c r="A36" s="607"/>
      <c r="B36" s="589"/>
      <c r="C36" s="589"/>
      <c r="D36" s="589"/>
      <c r="E36" s="589"/>
      <c r="F36" s="608"/>
    </row>
    <row r="37" spans="1:9">
      <c r="A37" s="693" t="s">
        <v>436</v>
      </c>
      <c r="B37" s="694"/>
      <c r="C37" s="694"/>
      <c r="D37" s="694"/>
      <c r="E37" s="694"/>
      <c r="F37" s="695"/>
      <c r="G37" s="546"/>
      <c r="H37" s="546"/>
      <c r="I37" s="546"/>
    </row>
    <row r="38" spans="1:9">
      <c r="A38" s="696" t="s">
        <v>437</v>
      </c>
      <c r="B38" s="697"/>
      <c r="C38" s="697"/>
      <c r="D38" s="697"/>
      <c r="E38" s="697"/>
      <c r="F38" s="698"/>
      <c r="G38" s="546"/>
      <c r="H38" s="546"/>
      <c r="I38" s="546"/>
    </row>
    <row r="39" spans="1:9" ht="13.5" thickBot="1">
      <c r="A39" s="690" t="s">
        <v>430</v>
      </c>
      <c r="B39" s="691"/>
      <c r="C39" s="691"/>
      <c r="D39" s="691"/>
      <c r="E39" s="691"/>
      <c r="F39" s="692"/>
      <c r="G39" s="546"/>
      <c r="H39" s="546"/>
      <c r="I39" s="546"/>
    </row>
    <row r="40" spans="1:9">
      <c r="A40" s="609"/>
      <c r="B40" s="563"/>
      <c r="C40" s="563"/>
      <c r="D40" s="563"/>
      <c r="E40" s="563"/>
      <c r="F40" s="564"/>
    </row>
    <row r="41" spans="1:9">
      <c r="A41" s="586"/>
      <c r="B41" s="569"/>
      <c r="C41" s="569"/>
      <c r="D41" s="569"/>
      <c r="E41" s="602" t="s">
        <v>297</v>
      </c>
      <c r="F41" s="603" t="s">
        <v>298</v>
      </c>
    </row>
    <row r="42" spans="1:9">
      <c r="A42" s="586"/>
      <c r="B42" s="569"/>
      <c r="C42" s="569"/>
      <c r="D42" s="569"/>
      <c r="E42" s="602" t="s">
        <v>431</v>
      </c>
      <c r="F42" s="603" t="s">
        <v>432</v>
      </c>
    </row>
    <row r="43" spans="1:9">
      <c r="A43" s="586"/>
      <c r="B43" s="569"/>
      <c r="C43" s="569"/>
      <c r="D43" s="569"/>
      <c r="E43" s="569"/>
      <c r="F43" s="570"/>
    </row>
    <row r="44" spans="1:9">
      <c r="A44" s="604">
        <v>1</v>
      </c>
      <c r="B44" s="605" t="s">
        <v>114</v>
      </c>
      <c r="C44" s="605"/>
      <c r="D44" s="605"/>
      <c r="E44" s="605"/>
      <c r="F44" s="570"/>
    </row>
    <row r="45" spans="1:9">
      <c r="A45" s="604">
        <v>2</v>
      </c>
      <c r="B45" s="605"/>
      <c r="C45" s="605" t="s">
        <v>435</v>
      </c>
      <c r="D45" s="569"/>
      <c r="E45" s="577">
        <f>E35</f>
        <v>31887.982401178335</v>
      </c>
      <c r="F45" s="573">
        <f>F35</f>
        <v>15824.723557278514</v>
      </c>
      <c r="H45" s="554"/>
      <c r="I45" s="554"/>
    </row>
    <row r="46" spans="1:9">
      <c r="A46" s="604">
        <v>3</v>
      </c>
      <c r="B46" s="605"/>
      <c r="C46" s="605" t="s">
        <v>146</v>
      </c>
      <c r="D46" s="569"/>
      <c r="E46" s="577">
        <v>15000</v>
      </c>
      <c r="F46" s="573">
        <v>15000</v>
      </c>
    </row>
    <row r="47" spans="1:9">
      <c r="A47" s="604">
        <v>4</v>
      </c>
      <c r="B47" s="605"/>
      <c r="C47" s="605" t="s">
        <v>147</v>
      </c>
      <c r="D47" s="569"/>
      <c r="E47" s="577"/>
      <c r="F47" s="573"/>
    </row>
    <row r="48" spans="1:9">
      <c r="A48" s="604">
        <f>A47+1</f>
        <v>5</v>
      </c>
      <c r="B48" s="605"/>
      <c r="C48" s="569"/>
      <c r="D48" s="610" t="s">
        <v>66</v>
      </c>
      <c r="E48" s="577">
        <v>273163.91847353138</v>
      </c>
      <c r="F48" s="573">
        <v>284421.9654574357</v>
      </c>
      <c r="H48" s="555"/>
    </row>
    <row r="49" spans="1:9">
      <c r="A49" s="604">
        <f t="shared" ref="A49:A55" si="0">A48+1</f>
        <v>6</v>
      </c>
      <c r="B49" s="605"/>
      <c r="C49" s="605"/>
      <c r="D49" s="610" t="s">
        <v>149</v>
      </c>
      <c r="E49" s="572">
        <v>4324.6130910086995</v>
      </c>
      <c r="F49" s="573">
        <v>4110.7669205250004</v>
      </c>
      <c r="H49" s="555"/>
    </row>
    <row r="50" spans="1:9">
      <c r="A50" s="604">
        <f t="shared" si="0"/>
        <v>7</v>
      </c>
      <c r="B50" s="605"/>
      <c r="C50" s="605"/>
      <c r="D50" s="610" t="s">
        <v>72</v>
      </c>
      <c r="E50" s="572">
        <v>561</v>
      </c>
      <c r="F50" s="573">
        <v>561</v>
      </c>
      <c r="H50" s="555"/>
    </row>
    <row r="51" spans="1:9">
      <c r="A51" s="604">
        <f t="shared" si="0"/>
        <v>8</v>
      </c>
      <c r="B51" s="605"/>
      <c r="C51" s="605"/>
      <c r="D51" s="610" t="s">
        <v>70</v>
      </c>
      <c r="E51" s="572">
        <v>-18968</v>
      </c>
      <c r="F51" s="573">
        <v>-18968</v>
      </c>
      <c r="H51" s="555"/>
    </row>
    <row r="52" spans="1:9">
      <c r="A52" s="604">
        <f t="shared" si="0"/>
        <v>9</v>
      </c>
      <c r="B52" s="605"/>
      <c r="C52" s="605" t="s">
        <v>438</v>
      </c>
      <c r="D52" s="569"/>
      <c r="E52" s="572"/>
      <c r="F52" s="573"/>
    </row>
    <row r="53" spans="1:9">
      <c r="A53" s="604">
        <f t="shared" si="0"/>
        <v>10</v>
      </c>
      <c r="B53" s="605"/>
      <c r="C53" s="569"/>
      <c r="D53" s="610" t="s">
        <v>439</v>
      </c>
      <c r="E53" s="577">
        <v>-17256.411207619043</v>
      </c>
      <c r="F53" s="573">
        <v>-14766.860225654802</v>
      </c>
    </row>
    <row r="54" spans="1:9">
      <c r="A54" s="604">
        <f t="shared" si="0"/>
        <v>11</v>
      </c>
      <c r="B54" s="605"/>
      <c r="C54" s="605"/>
      <c r="D54" s="610" t="s">
        <v>151</v>
      </c>
      <c r="E54" s="572">
        <v>-9168.364749999997</v>
      </c>
      <c r="F54" s="573">
        <v>-3387.1427400000002</v>
      </c>
    </row>
    <row r="55" spans="1:9">
      <c r="A55" s="604">
        <f t="shared" si="0"/>
        <v>12</v>
      </c>
      <c r="B55" s="605" t="s">
        <v>152</v>
      </c>
      <c r="C55" s="605"/>
      <c r="D55" s="569"/>
      <c r="E55" s="574">
        <f>SUM(E45:E54)</f>
        <v>279544.73800809932</v>
      </c>
      <c r="F55" s="575">
        <f>SUM(F45:F54)</f>
        <v>282796.45296958444</v>
      </c>
      <c r="H55" s="558"/>
      <c r="I55" s="558"/>
    </row>
    <row r="56" spans="1:9">
      <c r="A56" s="586"/>
      <c r="B56" s="569"/>
      <c r="C56" s="605"/>
      <c r="D56" s="569"/>
      <c r="E56" s="611"/>
      <c r="F56" s="570"/>
    </row>
    <row r="57" spans="1:9">
      <c r="A57" s="604">
        <v>13</v>
      </c>
      <c r="B57" s="605" t="s">
        <v>158</v>
      </c>
      <c r="C57" s="605"/>
      <c r="D57" s="605"/>
      <c r="E57" s="611"/>
      <c r="F57" s="570"/>
    </row>
    <row r="58" spans="1:9">
      <c r="A58" s="604">
        <v>14</v>
      </c>
      <c r="B58" s="605"/>
      <c r="C58" s="605" t="s">
        <v>159</v>
      </c>
      <c r="D58" s="569"/>
      <c r="E58" s="605"/>
      <c r="F58" s="570"/>
    </row>
    <row r="59" spans="1:9">
      <c r="A59" s="604">
        <v>15</v>
      </c>
      <c r="B59" s="605"/>
      <c r="C59" s="605"/>
      <c r="D59" s="610" t="s">
        <v>160</v>
      </c>
      <c r="E59" s="572">
        <v>-505808.04284751625</v>
      </c>
      <c r="F59" s="573">
        <v>-521577.32165113202</v>
      </c>
    </row>
    <row r="60" spans="1:9">
      <c r="A60" s="604">
        <v>16</v>
      </c>
      <c r="B60" s="605" t="s">
        <v>161</v>
      </c>
      <c r="C60" s="605"/>
      <c r="D60" s="605"/>
      <c r="E60" s="577">
        <f>SUM(E59)</f>
        <v>-505808.04284751625</v>
      </c>
      <c r="F60" s="573">
        <f>SUM(F59)</f>
        <v>-521577.32165113202</v>
      </c>
    </row>
    <row r="61" spans="1:9">
      <c r="A61" s="604"/>
      <c r="B61" s="605"/>
      <c r="C61" s="605"/>
      <c r="D61" s="605"/>
      <c r="E61" s="605"/>
      <c r="F61" s="570"/>
    </row>
    <row r="62" spans="1:9">
      <c r="A62" s="604">
        <v>17</v>
      </c>
      <c r="B62" s="605" t="s">
        <v>162</v>
      </c>
      <c r="C62" s="605"/>
      <c r="D62" s="605"/>
      <c r="E62" s="605"/>
      <c r="F62" s="570"/>
    </row>
    <row r="63" spans="1:9">
      <c r="A63" s="604">
        <v>18</v>
      </c>
      <c r="B63" s="605"/>
      <c r="C63" s="605" t="s">
        <v>163</v>
      </c>
      <c r="D63" s="569"/>
      <c r="E63" s="577">
        <v>490808.04284751625</v>
      </c>
      <c r="F63" s="573">
        <v>506577.32165113202</v>
      </c>
    </row>
    <row r="64" spans="1:9">
      <c r="A64" s="604">
        <v>19</v>
      </c>
      <c r="B64" s="605"/>
      <c r="C64" s="605" t="s">
        <v>164</v>
      </c>
      <c r="D64" s="569"/>
      <c r="E64" s="577">
        <v>-191503.61900000001</v>
      </c>
      <c r="F64" s="573">
        <v>-4837.5200000000004</v>
      </c>
    </row>
    <row r="65" spans="1:14">
      <c r="A65" s="604">
        <v>20</v>
      </c>
      <c r="B65" s="605"/>
      <c r="C65" s="605" t="s">
        <v>165</v>
      </c>
      <c r="D65" s="569"/>
      <c r="E65" s="577">
        <v>-1873.598</v>
      </c>
      <c r="F65" s="573">
        <v>-12466.001</v>
      </c>
    </row>
    <row r="66" spans="1:14">
      <c r="A66" s="604">
        <v>21</v>
      </c>
      <c r="B66" s="605"/>
      <c r="C66" s="605" t="s">
        <v>166</v>
      </c>
      <c r="D66" s="569"/>
      <c r="E66" s="577">
        <v>-45950</v>
      </c>
      <c r="F66" s="573">
        <v>-213963.23800000001</v>
      </c>
    </row>
    <row r="67" spans="1:14">
      <c r="A67" s="604">
        <v>22</v>
      </c>
      <c r="B67" s="605"/>
      <c r="C67" s="605" t="s">
        <v>167</v>
      </c>
      <c r="D67" s="569"/>
      <c r="E67" s="577">
        <v>-1955.7940000000001</v>
      </c>
      <c r="F67" s="573">
        <v>-21052.574000000001</v>
      </c>
    </row>
    <row r="68" spans="1:14">
      <c r="A68" s="604">
        <v>23</v>
      </c>
      <c r="B68" s="605" t="s">
        <v>168</v>
      </c>
      <c r="C68" s="605"/>
      <c r="D68" s="605"/>
      <c r="E68" s="611">
        <f>SUM(E63:E67)</f>
        <v>249525.03184751625</v>
      </c>
      <c r="F68" s="612">
        <f>SUM(F63:F67)</f>
        <v>254257.98865113201</v>
      </c>
    </row>
    <row r="69" spans="1:14">
      <c r="A69" s="604"/>
      <c r="B69" s="605"/>
      <c r="C69" s="605"/>
      <c r="D69" s="605"/>
      <c r="E69" s="605"/>
      <c r="F69" s="570"/>
    </row>
    <row r="70" spans="1:14">
      <c r="A70" s="604">
        <v>24</v>
      </c>
      <c r="B70" s="605" t="s">
        <v>169</v>
      </c>
      <c r="C70" s="605"/>
      <c r="D70" s="605"/>
      <c r="E70" s="611">
        <f>SUM(E68,E60,E55)</f>
        <v>23261.727008099318</v>
      </c>
      <c r="F70" s="612">
        <f>SUM(F68,F60,F55)</f>
        <v>15477.119969584455</v>
      </c>
      <c r="H70" s="558"/>
      <c r="I70" s="558"/>
    </row>
    <row r="71" spans="1:14">
      <c r="A71" s="604"/>
      <c r="B71" s="605"/>
      <c r="C71" s="605"/>
      <c r="D71" s="605"/>
      <c r="E71" s="605"/>
      <c r="F71" s="570"/>
    </row>
    <row r="72" spans="1:14">
      <c r="A72" s="604"/>
      <c r="B72" s="605"/>
      <c r="C72" s="605"/>
      <c r="D72" s="605"/>
      <c r="E72" s="605"/>
      <c r="F72" s="570"/>
    </row>
    <row r="73" spans="1:14">
      <c r="A73" s="604"/>
      <c r="B73" s="605"/>
      <c r="C73" s="605"/>
      <c r="D73" s="605"/>
      <c r="E73" s="605"/>
      <c r="F73" s="570"/>
    </row>
    <row r="74" spans="1:14">
      <c r="A74" s="614" t="s">
        <v>440</v>
      </c>
      <c r="B74" s="615"/>
      <c r="C74" s="615"/>
      <c r="D74" s="615"/>
      <c r="E74" s="615"/>
      <c r="F74" s="621"/>
    </row>
    <row r="75" spans="1:14" ht="13.5" thickBot="1">
      <c r="A75" s="616" t="s">
        <v>441</v>
      </c>
      <c r="B75" s="617"/>
      <c r="C75" s="617"/>
      <c r="D75" s="617"/>
      <c r="E75" s="617"/>
      <c r="F75" s="622"/>
    </row>
    <row r="77" spans="1:14" ht="13.5" thickBot="1"/>
    <row r="78" spans="1:14" ht="13.5" thickBot="1">
      <c r="D78" s="618" t="s">
        <v>442</v>
      </c>
      <c r="E78" s="619">
        <v>21695.609928099533</v>
      </c>
      <c r="F78" s="620">
        <v>13364.647829584264</v>
      </c>
      <c r="G78" s="553"/>
      <c r="H78" s="553"/>
      <c r="I78" s="553"/>
      <c r="J78" s="553"/>
      <c r="K78" s="553"/>
      <c r="L78" s="553"/>
      <c r="M78" s="553"/>
      <c r="N78" s="553"/>
    </row>
  </sheetData>
  <mergeCells count="6">
    <mergeCell ref="A39:F39"/>
    <mergeCell ref="A1:F1"/>
    <mergeCell ref="A2:F2"/>
    <mergeCell ref="A3:F3"/>
    <mergeCell ref="A37:F37"/>
    <mergeCell ref="A38:F38"/>
  </mergeCells>
  <pageMargins left="0.25" right="0.25" top="0.75" bottom="0.75" header="0.3" footer="0.3"/>
  <pageSetup scale="5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workbookViewId="0">
      <selection activeCell="H1" sqref="H1"/>
    </sheetView>
  </sheetViews>
  <sheetFormatPr defaultRowHeight="12.75"/>
  <cols>
    <col min="1" max="1" width="9.140625" style="549"/>
    <col min="2" max="2" width="45.140625" style="549" customWidth="1"/>
    <col min="3" max="3" width="9.140625" style="549" hidden="1" customWidth="1"/>
    <col min="4" max="4" width="10.5703125" style="549" bestFit="1" customWidth="1"/>
    <col min="5" max="7" width="9.85546875" style="549" bestFit="1" customWidth="1"/>
    <col min="8" max="16384" width="9.140625" style="549"/>
  </cols>
  <sheetData>
    <row r="1" spans="1:11" ht="15" customHeight="1">
      <c r="A1" s="693" t="s">
        <v>443</v>
      </c>
      <c r="B1" s="694"/>
      <c r="C1" s="694"/>
      <c r="D1" s="694"/>
      <c r="E1" s="694"/>
      <c r="F1" s="694"/>
      <c r="G1" s="695"/>
      <c r="J1" s="559"/>
      <c r="K1" s="559"/>
    </row>
    <row r="2" spans="1:11" ht="15" customHeight="1">
      <c r="A2" s="696" t="s">
        <v>444</v>
      </c>
      <c r="B2" s="697"/>
      <c r="C2" s="697"/>
      <c r="D2" s="697"/>
      <c r="E2" s="697"/>
      <c r="F2" s="697"/>
      <c r="G2" s="698"/>
      <c r="J2" s="559"/>
      <c r="K2" s="559"/>
    </row>
    <row r="3" spans="1:11" ht="15" customHeight="1">
      <c r="A3" s="696" t="s">
        <v>445</v>
      </c>
      <c r="B3" s="697"/>
      <c r="C3" s="697"/>
      <c r="D3" s="697"/>
      <c r="E3" s="697"/>
      <c r="F3" s="697"/>
      <c r="G3" s="698"/>
      <c r="J3" s="559"/>
      <c r="K3" s="559"/>
    </row>
    <row r="4" spans="1:11" ht="13.5" thickBot="1">
      <c r="A4" s="690" t="s">
        <v>430</v>
      </c>
      <c r="B4" s="691"/>
      <c r="C4" s="691"/>
      <c r="D4" s="691"/>
      <c r="E4" s="691"/>
      <c r="F4" s="691"/>
      <c r="G4" s="692"/>
    </row>
    <row r="5" spans="1:11">
      <c r="A5" s="561"/>
      <c r="B5" s="562"/>
      <c r="C5" s="563"/>
      <c r="D5" s="563"/>
      <c r="E5" s="563"/>
      <c r="F5" s="563"/>
      <c r="G5" s="564"/>
    </row>
    <row r="6" spans="1:11">
      <c r="A6" s="565"/>
      <c r="B6" s="566"/>
      <c r="C6" s="566">
        <v>2013</v>
      </c>
      <c r="D6" s="566"/>
      <c r="E6" s="566">
        <v>2017</v>
      </c>
      <c r="F6" s="566">
        <f t="shared" ref="F6:G6" si="0">E6+1</f>
        <v>2018</v>
      </c>
      <c r="G6" s="567">
        <f t="shared" si="0"/>
        <v>2019</v>
      </c>
      <c r="H6" s="553"/>
    </row>
    <row r="7" spans="1:11">
      <c r="A7" s="568"/>
      <c r="B7" s="569"/>
      <c r="C7" s="569"/>
      <c r="D7" s="569"/>
      <c r="E7" s="569"/>
      <c r="F7" s="569"/>
      <c r="G7" s="570"/>
      <c r="H7" s="553"/>
    </row>
    <row r="8" spans="1:11">
      <c r="A8" s="571" t="s">
        <v>125</v>
      </c>
      <c r="B8" s="569"/>
      <c r="C8" s="572"/>
      <c r="D8" s="572"/>
      <c r="E8" s="572"/>
      <c r="F8" s="572">
        <v>21695.609928099533</v>
      </c>
      <c r="G8" s="573">
        <v>13364.647829584264</v>
      </c>
      <c r="H8" s="553"/>
    </row>
    <row r="9" spans="1:11">
      <c r="A9" s="571" t="s">
        <v>126</v>
      </c>
      <c r="B9" s="569"/>
      <c r="C9" s="569"/>
      <c r="D9" s="572"/>
      <c r="E9" s="574">
        <v>-15000</v>
      </c>
      <c r="F9" s="572">
        <v>-15000</v>
      </c>
      <c r="G9" s="575">
        <v>-15000</v>
      </c>
      <c r="H9" s="553"/>
    </row>
    <row r="10" spans="1:11">
      <c r="A10" s="576" t="s">
        <v>127</v>
      </c>
      <c r="B10" s="569"/>
      <c r="C10" s="569"/>
      <c r="D10" s="574"/>
      <c r="E10" s="574">
        <v>444000</v>
      </c>
      <c r="F10" s="574">
        <f>E11</f>
        <v>402000</v>
      </c>
      <c r="G10" s="573">
        <f>F11</f>
        <v>408695.60992809955</v>
      </c>
      <c r="H10" s="553"/>
    </row>
    <row r="11" spans="1:11">
      <c r="A11" s="576" t="s">
        <v>128</v>
      </c>
      <c r="B11" s="569"/>
      <c r="C11" s="577">
        <v>459000</v>
      </c>
      <c r="D11" s="574"/>
      <c r="E11" s="574">
        <f>E12</f>
        <v>402000</v>
      </c>
      <c r="F11" s="574">
        <f>SUM(F8:F10)</f>
        <v>408695.60992809955</v>
      </c>
      <c r="G11" s="575">
        <f>SUM(G8:G10)</f>
        <v>407060.25775768381</v>
      </c>
      <c r="H11" s="553"/>
    </row>
    <row r="12" spans="1:11">
      <c r="A12" s="576" t="s">
        <v>446</v>
      </c>
      <c r="B12" s="569"/>
      <c r="C12" s="577"/>
      <c r="D12" s="578"/>
      <c r="E12" s="574">
        <v>402000</v>
      </c>
      <c r="F12" s="574"/>
      <c r="G12" s="575"/>
      <c r="H12" s="553"/>
    </row>
    <row r="13" spans="1:11">
      <c r="A13" s="576" t="s">
        <v>129</v>
      </c>
      <c r="B13" s="569"/>
      <c r="C13" s="572">
        <f>ROUND((C11+C10)*0.5,0)</f>
        <v>229500</v>
      </c>
      <c r="D13" s="572"/>
      <c r="E13" s="572">
        <f>ROUND((E10+E11)*0.5,0)</f>
        <v>423000</v>
      </c>
      <c r="F13" s="572">
        <f>ROUND((F10+F11)*0.5,0)</f>
        <v>405348</v>
      </c>
      <c r="G13" s="573">
        <f>ROUND((G10+G11)*0.5,0)</f>
        <v>407878</v>
      </c>
      <c r="H13" s="553"/>
    </row>
    <row r="14" spans="1:11">
      <c r="A14" s="579" t="s">
        <v>130</v>
      </c>
      <c r="B14" s="569"/>
      <c r="C14" s="580">
        <v>1.52E-2</v>
      </c>
      <c r="D14" s="580"/>
      <c r="E14" s="580">
        <v>1.72E-3</v>
      </c>
      <c r="F14" s="580">
        <v>4.4600000000000004E-3</v>
      </c>
      <c r="G14" s="581">
        <v>6.6299999999999996E-3</v>
      </c>
      <c r="H14" s="553"/>
    </row>
    <row r="15" spans="1:11">
      <c r="A15" s="568" t="s">
        <v>131</v>
      </c>
      <c r="B15" s="569"/>
      <c r="C15" s="569"/>
      <c r="D15" s="578"/>
      <c r="E15" s="578">
        <f>E13*E14</f>
        <v>727.56</v>
      </c>
      <c r="F15" s="578">
        <f>F13*F14</f>
        <v>1807.8520800000001</v>
      </c>
      <c r="G15" s="582">
        <f t="shared" ref="G15" si="1">G13*G14</f>
        <v>2704.2311399999999</v>
      </c>
      <c r="H15" s="553"/>
    </row>
    <row r="16" spans="1:11">
      <c r="A16" s="583" t="s">
        <v>132</v>
      </c>
      <c r="B16" s="569"/>
      <c r="C16" s="569"/>
      <c r="D16" s="584"/>
      <c r="E16" s="584">
        <v>131.01900000000001</v>
      </c>
      <c r="F16" s="584">
        <v>223.274</v>
      </c>
      <c r="G16" s="585">
        <v>959.23500000000001</v>
      </c>
      <c r="H16" s="553"/>
    </row>
    <row r="17" spans="1:10">
      <c r="A17" s="586"/>
      <c r="B17" s="569"/>
      <c r="C17" s="569"/>
      <c r="D17" s="569"/>
      <c r="E17" s="569"/>
      <c r="F17" s="569"/>
      <c r="G17" s="570"/>
      <c r="H17" s="553"/>
    </row>
    <row r="18" spans="1:10">
      <c r="A18" s="568" t="s">
        <v>447</v>
      </c>
      <c r="B18" s="569"/>
      <c r="C18" s="569"/>
      <c r="D18" s="569"/>
      <c r="E18" s="569"/>
      <c r="F18" s="569"/>
      <c r="G18" s="570"/>
      <c r="H18" s="553"/>
    </row>
    <row r="19" spans="1:10">
      <c r="A19" s="576" t="s">
        <v>127</v>
      </c>
      <c r="B19" s="569"/>
      <c r="C19" s="569"/>
      <c r="D19" s="574"/>
      <c r="E19" s="574">
        <v>73000</v>
      </c>
      <c r="F19" s="574">
        <f>E20</f>
        <v>63000</v>
      </c>
      <c r="G19" s="575">
        <f>F20</f>
        <v>40000</v>
      </c>
      <c r="H19" s="553"/>
    </row>
    <row r="20" spans="1:10">
      <c r="A20" s="576" t="s">
        <v>128</v>
      </c>
      <c r="B20" s="569"/>
      <c r="C20" s="577">
        <v>120000</v>
      </c>
      <c r="D20" s="572"/>
      <c r="E20" s="572">
        <f>E21</f>
        <v>63000</v>
      </c>
      <c r="F20" s="572">
        <v>40000</v>
      </c>
      <c r="G20" s="573">
        <v>40000</v>
      </c>
      <c r="H20" s="553"/>
    </row>
    <row r="21" spans="1:10">
      <c r="A21" s="576" t="s">
        <v>202</v>
      </c>
      <c r="B21" s="569"/>
      <c r="C21" s="577"/>
      <c r="D21" s="584"/>
      <c r="E21" s="572">
        <v>63000</v>
      </c>
      <c r="F21" s="572"/>
      <c r="G21" s="573"/>
      <c r="H21" s="553"/>
    </row>
    <row r="22" spans="1:10">
      <c r="A22" s="576" t="s">
        <v>129</v>
      </c>
      <c r="B22" s="569"/>
      <c r="C22" s="572">
        <f>ROUND((C20+C19)*0.5,0)</f>
        <v>60000</v>
      </c>
      <c r="D22" s="572"/>
      <c r="E22" s="572">
        <f>ROUND((E19+E20)*0.5,0)</f>
        <v>68000</v>
      </c>
      <c r="F22" s="572">
        <f t="shared" ref="F22" si="2">ROUND((F19+F20)*0.5,0)</f>
        <v>51500</v>
      </c>
      <c r="G22" s="573">
        <f>ROUND((G19+G20)*0.5,0)</f>
        <v>40000</v>
      </c>
      <c r="H22" s="553"/>
    </row>
    <row r="23" spans="1:10">
      <c r="A23" s="583" t="s">
        <v>448</v>
      </c>
      <c r="B23" s="569"/>
      <c r="C23" s="574">
        <f>C22*C14+C24</f>
        <v>1112</v>
      </c>
      <c r="D23" s="574"/>
      <c r="E23" s="578">
        <f>E22*E14</f>
        <v>116.96</v>
      </c>
      <c r="F23" s="578">
        <f t="shared" ref="F23:G23" si="3">F22*F14</f>
        <v>229.69000000000003</v>
      </c>
      <c r="G23" s="582">
        <f t="shared" si="3"/>
        <v>265.2</v>
      </c>
      <c r="H23" s="553"/>
    </row>
    <row r="24" spans="1:10">
      <c r="A24" s="587" t="s">
        <v>133</v>
      </c>
      <c r="B24" s="569"/>
      <c r="C24" s="572">
        <v>200</v>
      </c>
      <c r="D24" s="572"/>
      <c r="E24" s="572">
        <v>200</v>
      </c>
      <c r="F24" s="572">
        <v>200</v>
      </c>
      <c r="G24" s="573">
        <v>200</v>
      </c>
      <c r="H24" s="553"/>
    </row>
    <row r="25" spans="1:10">
      <c r="A25" s="586"/>
      <c r="B25" s="569"/>
      <c r="C25" s="569"/>
      <c r="D25" s="569"/>
      <c r="E25" s="569"/>
      <c r="F25" s="569"/>
      <c r="G25" s="570"/>
      <c r="H25" s="553"/>
    </row>
    <row r="26" spans="1:10" ht="13.5" thickBot="1">
      <c r="A26" s="588" t="s">
        <v>134</v>
      </c>
      <c r="B26" s="589"/>
      <c r="C26" s="589"/>
      <c r="D26" s="590"/>
      <c r="E26" s="590">
        <f>E15+E16+E23+E24</f>
        <v>1175.539</v>
      </c>
      <c r="F26" s="590">
        <f>F15+F16+F23+F24</f>
        <v>2460.8160800000001</v>
      </c>
      <c r="G26" s="591">
        <f>G15+G16+G23+G24</f>
        <v>4128.6661399999994</v>
      </c>
      <c r="H26" s="553"/>
    </row>
    <row r="27" spans="1:10" ht="13.5" thickBot="1">
      <c r="J27" s="558"/>
    </row>
    <row r="28" spans="1:10">
      <c r="B28" s="561" t="s">
        <v>449</v>
      </c>
      <c r="C28" s="563"/>
      <c r="D28" s="592"/>
      <c r="E28" s="592">
        <f>E10*E14</f>
        <v>763.68</v>
      </c>
      <c r="F28" s="593">
        <f>F10*F14</f>
        <v>1792.92</v>
      </c>
    </row>
    <row r="29" spans="1:10">
      <c r="B29" s="594" t="s">
        <v>450</v>
      </c>
      <c r="C29" s="569"/>
      <c r="D29" s="574"/>
      <c r="E29" s="574">
        <f>E16</f>
        <v>131.01900000000001</v>
      </c>
      <c r="F29" s="575">
        <f>F16</f>
        <v>223.274</v>
      </c>
    </row>
    <row r="30" spans="1:10" ht="13.5" thickBot="1">
      <c r="B30" s="595" t="s">
        <v>451</v>
      </c>
      <c r="C30" s="589"/>
      <c r="D30" s="596"/>
      <c r="E30" s="596">
        <f>SUM(E28:E29)</f>
        <v>894.69899999999996</v>
      </c>
      <c r="F30" s="597">
        <f>SUM(F28:F29)</f>
        <v>2016.194</v>
      </c>
    </row>
    <row r="31" spans="1:10">
      <c r="H31" s="558"/>
    </row>
  </sheetData>
  <mergeCells count="4">
    <mergeCell ref="A1:G1"/>
    <mergeCell ref="A2:G2"/>
    <mergeCell ref="A3:G3"/>
    <mergeCell ref="A4:G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78"/>
  <sheetViews>
    <sheetView workbookViewId="0">
      <selection activeCell="K22" sqref="K22"/>
    </sheetView>
  </sheetViews>
  <sheetFormatPr defaultRowHeight="12.75"/>
  <cols>
    <col min="1" max="1" width="3.85546875" style="549" customWidth="1"/>
    <col min="2" max="3" width="4.7109375" style="549" customWidth="1"/>
    <col min="4" max="4" width="55.42578125" style="549" customWidth="1"/>
    <col min="5" max="5" width="11.85546875" style="549" customWidth="1"/>
    <col min="6" max="6" width="11" style="549" customWidth="1"/>
    <col min="7" max="7" width="3.140625" style="549" customWidth="1"/>
    <col min="8" max="9" width="13.28515625" style="549" bestFit="1" customWidth="1"/>
    <col min="10" max="16384" width="9.140625" style="549"/>
  </cols>
  <sheetData>
    <row r="1" spans="1:14" ht="15" customHeight="1">
      <c r="A1" s="693" t="s">
        <v>452</v>
      </c>
      <c r="B1" s="694"/>
      <c r="C1" s="694"/>
      <c r="D1" s="694"/>
      <c r="E1" s="694"/>
      <c r="F1" s="695"/>
      <c r="G1" s="546"/>
      <c r="H1" s="547" t="s">
        <v>458</v>
      </c>
      <c r="I1" s="548"/>
      <c r="J1" s="548"/>
    </row>
    <row r="2" spans="1:14" ht="15" customHeight="1">
      <c r="A2" s="696" t="s">
        <v>84</v>
      </c>
      <c r="B2" s="697"/>
      <c r="C2" s="697"/>
      <c r="D2" s="697"/>
      <c r="E2" s="697"/>
      <c r="F2" s="698"/>
      <c r="G2" s="546"/>
      <c r="H2" s="699" t="s">
        <v>459</v>
      </c>
      <c r="I2" s="699"/>
      <c r="J2" s="699"/>
      <c r="K2" s="699"/>
      <c r="L2" s="699"/>
      <c r="M2" s="699"/>
    </row>
    <row r="3" spans="1:14" ht="15" customHeight="1" thickBot="1">
      <c r="A3" s="690" t="s">
        <v>430</v>
      </c>
      <c r="B3" s="691"/>
      <c r="C3" s="691"/>
      <c r="D3" s="691"/>
      <c r="E3" s="691"/>
      <c r="F3" s="692"/>
      <c r="G3" s="546"/>
      <c r="H3" s="699"/>
      <c r="I3" s="699"/>
      <c r="J3" s="699"/>
      <c r="K3" s="699"/>
      <c r="L3" s="699"/>
      <c r="M3" s="699"/>
    </row>
    <row r="4" spans="1:14">
      <c r="A4" s="598"/>
      <c r="B4" s="599"/>
      <c r="C4" s="599"/>
      <c r="D4" s="599"/>
      <c r="E4" s="599"/>
      <c r="F4" s="600"/>
      <c r="G4" s="546"/>
      <c r="H4" s="699"/>
      <c r="I4" s="699"/>
      <c r="J4" s="699"/>
      <c r="K4" s="699"/>
      <c r="L4" s="699"/>
      <c r="M4" s="699"/>
    </row>
    <row r="5" spans="1:14">
      <c r="A5" s="601"/>
      <c r="B5" s="602"/>
      <c r="C5" s="602"/>
      <c r="D5" s="602"/>
      <c r="E5" s="602" t="s">
        <v>297</v>
      </c>
      <c r="F5" s="603" t="s">
        <v>298</v>
      </c>
      <c r="G5" s="550"/>
      <c r="H5" s="699"/>
      <c r="I5" s="699"/>
      <c r="J5" s="699"/>
      <c r="K5" s="699"/>
      <c r="L5" s="699"/>
      <c r="M5" s="699"/>
      <c r="N5" s="553"/>
    </row>
    <row r="6" spans="1:14">
      <c r="A6" s="601"/>
      <c r="B6" s="602"/>
      <c r="C6" s="602"/>
      <c r="D6" s="602"/>
      <c r="E6" s="602" t="s">
        <v>431</v>
      </c>
      <c r="F6" s="603" t="s">
        <v>432</v>
      </c>
      <c r="G6" s="550"/>
      <c r="H6" s="552"/>
      <c r="I6" s="552"/>
      <c r="J6" s="553"/>
      <c r="K6" s="553"/>
      <c r="L6" s="553"/>
      <c r="M6" s="553"/>
      <c r="N6" s="553"/>
    </row>
    <row r="7" spans="1:14">
      <c r="A7" s="601"/>
      <c r="B7" s="602"/>
      <c r="C7" s="602"/>
      <c r="D7" s="602"/>
      <c r="E7" s="602"/>
      <c r="F7" s="603"/>
      <c r="G7" s="550"/>
      <c r="H7" s="553"/>
      <c r="I7" s="552"/>
      <c r="J7" s="553"/>
      <c r="K7" s="553"/>
      <c r="L7" s="553"/>
      <c r="M7" s="553"/>
      <c r="N7" s="553"/>
    </row>
    <row r="8" spans="1:14">
      <c r="A8" s="604">
        <v>1</v>
      </c>
      <c r="B8" s="605" t="s">
        <v>453</v>
      </c>
      <c r="C8" s="605"/>
      <c r="D8" s="605"/>
      <c r="E8" s="572">
        <v>1040291.4912851631</v>
      </c>
      <c r="F8" s="573">
        <v>1047723.1716048827</v>
      </c>
      <c r="G8" s="553"/>
      <c r="H8" s="553"/>
      <c r="I8" s="553"/>
      <c r="J8" s="553"/>
      <c r="K8" s="553"/>
      <c r="L8" s="553"/>
      <c r="M8" s="553"/>
      <c r="N8" s="553"/>
    </row>
    <row r="9" spans="1:14">
      <c r="A9" s="604"/>
      <c r="B9" s="605"/>
      <c r="C9" s="605"/>
      <c r="D9" s="605"/>
      <c r="E9" s="569"/>
      <c r="F9" s="570"/>
      <c r="H9" s="553"/>
      <c r="I9" s="553"/>
      <c r="J9" s="553"/>
      <c r="K9" s="553"/>
      <c r="L9" s="553"/>
      <c r="M9" s="553"/>
      <c r="N9" s="553"/>
    </row>
    <row r="10" spans="1:14">
      <c r="A10" s="604">
        <v>2</v>
      </c>
      <c r="B10" s="605" t="s">
        <v>62</v>
      </c>
      <c r="C10" s="605"/>
      <c r="D10" s="605"/>
      <c r="E10" s="569"/>
      <c r="F10" s="570"/>
      <c r="H10" s="553"/>
      <c r="I10" s="553"/>
      <c r="J10" s="553"/>
      <c r="K10" s="553"/>
      <c r="L10" s="553"/>
      <c r="M10" s="553"/>
      <c r="N10" s="553"/>
    </row>
    <row r="11" spans="1:14">
      <c r="A11" s="604">
        <v>3</v>
      </c>
      <c r="B11" s="605"/>
      <c r="C11" s="605" t="s">
        <v>14</v>
      </c>
      <c r="D11" s="605"/>
      <c r="E11" s="572">
        <v>167050.00099999999</v>
      </c>
      <c r="F11" s="573">
        <v>168007.32399999999</v>
      </c>
      <c r="H11" s="553"/>
      <c r="I11" s="553"/>
      <c r="J11" s="553"/>
      <c r="K11" s="553"/>
      <c r="L11" s="553"/>
      <c r="M11" s="553"/>
      <c r="N11" s="553"/>
    </row>
    <row r="12" spans="1:14">
      <c r="A12" s="604">
        <v>4</v>
      </c>
      <c r="B12" s="605"/>
      <c r="C12" s="605" t="s">
        <v>15</v>
      </c>
      <c r="D12" s="605"/>
      <c r="E12" s="572">
        <v>56350.642999999996</v>
      </c>
      <c r="F12" s="573">
        <v>57717.508000000002</v>
      </c>
    </row>
    <row r="13" spans="1:14">
      <c r="A13" s="604">
        <v>5</v>
      </c>
      <c r="B13" s="605"/>
      <c r="C13" s="605" t="s">
        <v>323</v>
      </c>
      <c r="D13" s="605"/>
      <c r="E13" s="572">
        <v>176580.17499999999</v>
      </c>
      <c r="F13" s="573">
        <v>178125.06200000001</v>
      </c>
    </row>
    <row r="14" spans="1:14">
      <c r="A14" s="604">
        <v>6</v>
      </c>
      <c r="B14" s="605"/>
      <c r="C14" s="605" t="s">
        <v>434</v>
      </c>
      <c r="D14" s="605"/>
      <c r="E14" s="577">
        <v>119460.11582800001</v>
      </c>
      <c r="F14" s="606">
        <v>111982.93511399999</v>
      </c>
    </row>
    <row r="15" spans="1:14">
      <c r="A15" s="604">
        <v>7</v>
      </c>
      <c r="B15" s="605"/>
      <c r="C15" s="605" t="s">
        <v>64</v>
      </c>
      <c r="D15" s="605"/>
      <c r="E15" s="572">
        <v>93939.626999999993</v>
      </c>
      <c r="F15" s="573">
        <v>95607.17</v>
      </c>
    </row>
    <row r="16" spans="1:14">
      <c r="A16" s="604">
        <v>8</v>
      </c>
      <c r="B16" s="605"/>
      <c r="C16" s="605" t="s">
        <v>65</v>
      </c>
      <c r="D16" s="605"/>
      <c r="E16" s="572">
        <v>-7547.5749999999998</v>
      </c>
      <c r="F16" s="573">
        <v>-8539.3369999999995</v>
      </c>
    </row>
    <row r="17" spans="1:9">
      <c r="A17" s="604">
        <v>9</v>
      </c>
      <c r="B17" s="605"/>
      <c r="C17" s="605" t="s">
        <v>66</v>
      </c>
      <c r="D17" s="605"/>
      <c r="E17" s="574">
        <v>273163.91847353138</v>
      </c>
      <c r="F17" s="575">
        <v>284421.9654574357</v>
      </c>
    </row>
    <row r="18" spans="1:9">
      <c r="A18" s="604">
        <v>10</v>
      </c>
      <c r="B18" s="605" t="s">
        <v>67</v>
      </c>
      <c r="C18" s="605"/>
      <c r="D18" s="605"/>
      <c r="E18" s="574">
        <f>SUM(E11:E17)</f>
        <v>878996.90530153143</v>
      </c>
      <c r="F18" s="575">
        <f>SUM(F11:F17)</f>
        <v>887322.62757143565</v>
      </c>
    </row>
    <row r="19" spans="1:9">
      <c r="A19" s="604"/>
      <c r="B19" s="605"/>
      <c r="C19" s="605"/>
      <c r="D19" s="605"/>
      <c r="E19" s="569"/>
      <c r="F19" s="570"/>
    </row>
    <row r="20" spans="1:9">
      <c r="A20" s="604">
        <v>11</v>
      </c>
      <c r="B20" s="605" t="s">
        <v>68</v>
      </c>
      <c r="C20" s="605"/>
      <c r="D20" s="605"/>
      <c r="E20" s="569"/>
      <c r="F20" s="570"/>
    </row>
    <row r="21" spans="1:9">
      <c r="A21" s="604">
        <v>12</v>
      </c>
      <c r="B21" s="605"/>
      <c r="C21" s="605" t="s">
        <v>68</v>
      </c>
      <c r="D21" s="605"/>
      <c r="E21" s="569"/>
      <c r="F21" s="570"/>
    </row>
    <row r="22" spans="1:9">
      <c r="A22" s="604">
        <v>13</v>
      </c>
      <c r="B22" s="605"/>
      <c r="C22" s="605"/>
      <c r="D22" s="605" t="s">
        <v>69</v>
      </c>
      <c r="E22" s="572">
        <v>1658.904</v>
      </c>
      <c r="F22" s="573">
        <v>1517.8910000000001</v>
      </c>
    </row>
    <row r="23" spans="1:9">
      <c r="A23" s="604">
        <v>14</v>
      </c>
      <c r="B23" s="605"/>
      <c r="C23" s="605"/>
      <c r="D23" s="605" t="s">
        <v>70</v>
      </c>
      <c r="E23" s="572">
        <v>-18968</v>
      </c>
      <c r="F23" s="573">
        <v>-18968</v>
      </c>
    </row>
    <row r="24" spans="1:9">
      <c r="A24" s="604">
        <v>15</v>
      </c>
      <c r="B24" s="605"/>
      <c r="C24" s="605"/>
      <c r="D24" s="605" t="s">
        <v>71</v>
      </c>
      <c r="E24" s="572">
        <v>100998.95000000001</v>
      </c>
      <c r="F24" s="573">
        <v>106597.242</v>
      </c>
    </row>
    <row r="25" spans="1:9">
      <c r="A25" s="604">
        <v>16</v>
      </c>
      <c r="B25" s="605"/>
      <c r="C25" s="605"/>
      <c r="D25" s="605" t="s">
        <v>72</v>
      </c>
      <c r="E25" s="572">
        <v>561</v>
      </c>
      <c r="F25" s="573">
        <v>561</v>
      </c>
    </row>
    <row r="26" spans="1:9">
      <c r="A26" s="604">
        <v>17</v>
      </c>
      <c r="B26" s="605"/>
      <c r="C26" s="605"/>
      <c r="D26" s="605" t="s">
        <v>73</v>
      </c>
      <c r="E26" s="572">
        <v>13964.23</v>
      </c>
      <c r="F26" s="573">
        <v>5110.8459999999995</v>
      </c>
    </row>
    <row r="27" spans="1:9">
      <c r="A27" s="604">
        <v>18</v>
      </c>
      <c r="B27" s="605"/>
      <c r="C27" s="605"/>
      <c r="D27" s="605" t="s">
        <v>205</v>
      </c>
      <c r="E27" s="572">
        <v>77155.657170483697</v>
      </c>
      <c r="F27" s="573">
        <v>97552.262000000002</v>
      </c>
    </row>
    <row r="28" spans="1:9">
      <c r="A28" s="604">
        <v>19</v>
      </c>
      <c r="B28" s="605"/>
      <c r="C28" s="605"/>
      <c r="D28" s="605" t="s">
        <v>112</v>
      </c>
      <c r="E28" s="572">
        <v>0</v>
      </c>
      <c r="F28" s="573">
        <v>555.70799999999997</v>
      </c>
    </row>
    <row r="29" spans="1:9">
      <c r="A29" s="604">
        <v>19</v>
      </c>
      <c r="B29" s="605"/>
      <c r="C29" s="605" t="s">
        <v>74</v>
      </c>
      <c r="D29" s="605"/>
      <c r="E29" s="572">
        <v>-24732.824847516255</v>
      </c>
      <c r="F29" s="573">
        <v>-24819.316651132063</v>
      </c>
    </row>
    <row r="30" spans="1:9">
      <c r="A30" s="604">
        <v>20</v>
      </c>
      <c r="B30" s="605"/>
      <c r="C30" s="605" t="s">
        <v>75</v>
      </c>
      <c r="D30" s="605"/>
      <c r="E30" s="572">
        <v>-2418.9589800000003</v>
      </c>
      <c r="F30" s="573">
        <v>-3939.8967799999996</v>
      </c>
      <c r="H30" s="554"/>
      <c r="I30" s="554"/>
    </row>
    <row r="31" spans="1:9">
      <c r="A31" s="604">
        <v>21</v>
      </c>
      <c r="B31" s="605" t="s">
        <v>76</v>
      </c>
      <c r="C31" s="605"/>
      <c r="D31" s="605"/>
      <c r="E31" s="574">
        <f>SUM(E22:E30)</f>
        <v>148218.95734296745</v>
      </c>
      <c r="F31" s="575">
        <f>SUM(F22:F30)</f>
        <v>164167.73556886794</v>
      </c>
      <c r="H31" s="558"/>
      <c r="I31" s="558"/>
    </row>
    <row r="32" spans="1:9">
      <c r="A32" s="604"/>
      <c r="B32" s="605"/>
      <c r="C32" s="605"/>
      <c r="D32" s="605"/>
      <c r="E32" s="569"/>
      <c r="F32" s="570"/>
    </row>
    <row r="33" spans="1:9">
      <c r="A33" s="604">
        <v>22</v>
      </c>
      <c r="B33" s="605" t="s">
        <v>77</v>
      </c>
      <c r="C33" s="605"/>
      <c r="D33" s="605"/>
      <c r="E33" s="574">
        <f>SUM(E31,E18)</f>
        <v>1027215.8626444989</v>
      </c>
      <c r="F33" s="575">
        <f>SUM(F31,F18)</f>
        <v>1051490.3631403036</v>
      </c>
      <c r="H33" s="558"/>
      <c r="I33" s="558"/>
    </row>
    <row r="34" spans="1:9">
      <c r="A34" s="604"/>
      <c r="B34" s="605"/>
      <c r="C34" s="605"/>
      <c r="D34" s="605"/>
      <c r="E34" s="569"/>
      <c r="F34" s="570"/>
    </row>
    <row r="35" spans="1:9">
      <c r="A35" s="604">
        <v>23</v>
      </c>
      <c r="B35" s="605" t="s">
        <v>435</v>
      </c>
      <c r="C35" s="605"/>
      <c r="D35" s="605"/>
      <c r="E35" s="574">
        <f>E8-E33</f>
        <v>13075.628640664159</v>
      </c>
      <c r="F35" s="575">
        <f>F8-F33</f>
        <v>-3767.1915354209486</v>
      </c>
    </row>
    <row r="36" spans="1:9" ht="13.5" thickBot="1">
      <c r="A36" s="607"/>
      <c r="B36" s="589"/>
      <c r="C36" s="589"/>
      <c r="D36" s="589"/>
      <c r="E36" s="589"/>
      <c r="F36" s="608"/>
    </row>
    <row r="37" spans="1:9">
      <c r="A37" s="693" t="s">
        <v>454</v>
      </c>
      <c r="B37" s="694"/>
      <c r="C37" s="694"/>
      <c r="D37" s="694"/>
      <c r="E37" s="694"/>
      <c r="F37" s="695"/>
      <c r="G37" s="546"/>
      <c r="H37" s="546"/>
      <c r="I37" s="546"/>
    </row>
    <row r="38" spans="1:9">
      <c r="A38" s="696" t="s">
        <v>437</v>
      </c>
      <c r="B38" s="697"/>
      <c r="C38" s="697"/>
      <c r="D38" s="697"/>
      <c r="E38" s="697"/>
      <c r="F38" s="698"/>
      <c r="G38" s="546"/>
      <c r="H38" s="546"/>
      <c r="I38" s="546"/>
    </row>
    <row r="39" spans="1:9" ht="13.5" thickBot="1">
      <c r="A39" s="690" t="s">
        <v>430</v>
      </c>
      <c r="B39" s="691"/>
      <c r="C39" s="691"/>
      <c r="D39" s="691"/>
      <c r="E39" s="691"/>
      <c r="F39" s="692"/>
      <c r="G39" s="546"/>
      <c r="H39" s="546"/>
      <c r="I39" s="546"/>
    </row>
    <row r="40" spans="1:9">
      <c r="A40" s="609"/>
      <c r="B40" s="563"/>
      <c r="C40" s="563"/>
      <c r="D40" s="563"/>
      <c r="E40" s="563"/>
      <c r="F40" s="564"/>
    </row>
    <row r="41" spans="1:9">
      <c r="A41" s="586"/>
      <c r="B41" s="569"/>
      <c r="C41" s="569"/>
      <c r="D41" s="569"/>
      <c r="E41" s="602" t="s">
        <v>297</v>
      </c>
      <c r="F41" s="603" t="s">
        <v>298</v>
      </c>
    </row>
    <row r="42" spans="1:9">
      <c r="A42" s="586"/>
      <c r="B42" s="569"/>
      <c r="C42" s="569"/>
      <c r="D42" s="569"/>
      <c r="E42" s="602" t="s">
        <v>431</v>
      </c>
      <c r="F42" s="603" t="s">
        <v>432</v>
      </c>
    </row>
    <row r="43" spans="1:9">
      <c r="A43" s="586"/>
      <c r="B43" s="569"/>
      <c r="C43" s="569"/>
      <c r="D43" s="569"/>
      <c r="E43" s="569"/>
      <c r="F43" s="570"/>
    </row>
    <row r="44" spans="1:9">
      <c r="A44" s="604">
        <v>1</v>
      </c>
      <c r="B44" s="605" t="s">
        <v>114</v>
      </c>
      <c r="C44" s="605"/>
      <c r="D44" s="605"/>
      <c r="E44" s="605"/>
      <c r="F44" s="570"/>
    </row>
    <row r="45" spans="1:9">
      <c r="A45" s="604">
        <v>2</v>
      </c>
      <c r="B45" s="605"/>
      <c r="C45" s="605" t="s">
        <v>435</v>
      </c>
      <c r="D45" s="569"/>
      <c r="E45" s="577">
        <f>E35</f>
        <v>13075.628640664159</v>
      </c>
      <c r="F45" s="573">
        <f>F35</f>
        <v>-3767.1915354209486</v>
      </c>
      <c r="H45" s="554"/>
      <c r="I45" s="554"/>
    </row>
    <row r="46" spans="1:9">
      <c r="A46" s="604">
        <v>3</v>
      </c>
      <c r="B46" s="605"/>
      <c r="C46" s="605" t="s">
        <v>146</v>
      </c>
      <c r="D46" s="569"/>
      <c r="E46" s="577">
        <v>15000</v>
      </c>
      <c r="F46" s="573">
        <v>15000</v>
      </c>
    </row>
    <row r="47" spans="1:9">
      <c r="A47" s="604">
        <v>4</v>
      </c>
      <c r="B47" s="605"/>
      <c r="C47" s="605" t="s">
        <v>147</v>
      </c>
      <c r="D47" s="569"/>
      <c r="E47" s="577"/>
      <c r="F47" s="573"/>
    </row>
    <row r="48" spans="1:9">
      <c r="A48" s="604">
        <f>A47+1</f>
        <v>5</v>
      </c>
      <c r="B48" s="605"/>
      <c r="C48" s="569"/>
      <c r="D48" s="610" t="s">
        <v>66</v>
      </c>
      <c r="E48" s="577">
        <v>273163.91847353138</v>
      </c>
      <c r="F48" s="573">
        <v>284421.9654574357</v>
      </c>
    </row>
    <row r="49" spans="1:9">
      <c r="A49" s="604">
        <f t="shared" ref="A49:A54" si="0">A48+1</f>
        <v>6</v>
      </c>
      <c r="B49" s="605"/>
      <c r="C49" s="605"/>
      <c r="D49" s="610" t="s">
        <v>149</v>
      </c>
      <c r="E49" s="572">
        <v>4324.6130910086995</v>
      </c>
      <c r="F49" s="573">
        <v>4110.7669205250004</v>
      </c>
    </row>
    <row r="50" spans="1:9">
      <c r="A50" s="604">
        <f t="shared" si="0"/>
        <v>7</v>
      </c>
      <c r="B50" s="605"/>
      <c r="C50" s="605"/>
      <c r="D50" s="610" t="s">
        <v>72</v>
      </c>
      <c r="E50" s="572">
        <v>561</v>
      </c>
      <c r="F50" s="573">
        <v>561</v>
      </c>
    </row>
    <row r="51" spans="1:9">
      <c r="A51" s="604">
        <f t="shared" si="0"/>
        <v>8</v>
      </c>
      <c r="B51" s="605"/>
      <c r="C51" s="605"/>
      <c r="D51" s="610" t="s">
        <v>70</v>
      </c>
      <c r="E51" s="572">
        <v>-18968</v>
      </c>
      <c r="F51" s="573">
        <v>-18968</v>
      </c>
    </row>
    <row r="52" spans="1:9">
      <c r="A52" s="604">
        <f t="shared" si="0"/>
        <v>9</v>
      </c>
      <c r="B52" s="605"/>
      <c r="C52" s="605" t="s">
        <v>438</v>
      </c>
      <c r="D52" s="569"/>
      <c r="E52" s="572"/>
      <c r="F52" s="573"/>
    </row>
    <row r="53" spans="1:9">
      <c r="A53" s="604">
        <f t="shared" si="0"/>
        <v>10</v>
      </c>
      <c r="B53" s="605"/>
      <c r="C53" s="569"/>
      <c r="D53" s="610" t="s">
        <v>439</v>
      </c>
      <c r="E53" s="577">
        <v>-17256.411207619043</v>
      </c>
      <c r="F53" s="573">
        <v>-14766.860225654802</v>
      </c>
    </row>
    <row r="54" spans="1:9">
      <c r="A54" s="604">
        <f t="shared" si="0"/>
        <v>11</v>
      </c>
      <c r="B54" s="605"/>
      <c r="C54" s="605"/>
      <c r="D54" s="610" t="s">
        <v>151</v>
      </c>
      <c r="E54" s="572">
        <v>-9168.364749999997</v>
      </c>
      <c r="F54" s="573">
        <v>-3387.1427400000002</v>
      </c>
    </row>
    <row r="55" spans="1:9">
      <c r="A55" s="604">
        <f>A54+1</f>
        <v>12</v>
      </c>
      <c r="B55" s="605"/>
      <c r="C55" s="605" t="s">
        <v>455</v>
      </c>
      <c r="D55" s="610"/>
      <c r="E55" s="572">
        <v>-4200</v>
      </c>
      <c r="F55" s="573">
        <v>4200</v>
      </c>
      <c r="G55" s="553"/>
    </row>
    <row r="56" spans="1:9">
      <c r="A56" s="604">
        <v>13</v>
      </c>
      <c r="B56" s="605" t="s">
        <v>152</v>
      </c>
      <c r="C56" s="605"/>
      <c r="D56" s="569"/>
      <c r="E56" s="574">
        <f>SUM(E45:E55)</f>
        <v>256532.38424758514</v>
      </c>
      <c r="F56" s="575">
        <f>SUM(F45:F55)</f>
        <v>267404.53787688498</v>
      </c>
      <c r="H56" s="554"/>
      <c r="I56" s="554"/>
    </row>
    <row r="57" spans="1:9">
      <c r="A57" s="586"/>
      <c r="B57" s="569"/>
      <c r="C57" s="605"/>
      <c r="D57" s="569"/>
      <c r="E57" s="605"/>
      <c r="F57" s="570"/>
    </row>
    <row r="58" spans="1:9">
      <c r="A58" s="604"/>
      <c r="B58" s="605"/>
      <c r="C58" s="605"/>
      <c r="D58" s="605"/>
      <c r="E58" s="605"/>
      <c r="F58" s="570"/>
    </row>
    <row r="59" spans="1:9">
      <c r="A59" s="586">
        <v>14</v>
      </c>
      <c r="B59" s="605" t="s">
        <v>158</v>
      </c>
      <c r="C59" s="605"/>
      <c r="D59" s="605"/>
      <c r="E59" s="605"/>
      <c r="F59" s="570"/>
    </row>
    <row r="60" spans="1:9">
      <c r="A60" s="604">
        <v>15</v>
      </c>
      <c r="B60" s="605"/>
      <c r="C60" s="605" t="s">
        <v>159</v>
      </c>
      <c r="D60" s="569"/>
      <c r="E60" s="605"/>
      <c r="F60" s="570"/>
    </row>
    <row r="61" spans="1:9">
      <c r="A61" s="604">
        <v>16</v>
      </c>
      <c r="B61" s="605"/>
      <c r="C61" s="605"/>
      <c r="D61" s="610" t="s">
        <v>160</v>
      </c>
      <c r="E61" s="572">
        <v>-505808.04284751625</v>
      </c>
      <c r="F61" s="573">
        <v>-521577.32165113202</v>
      </c>
    </row>
    <row r="62" spans="1:9">
      <c r="A62" s="604">
        <v>17</v>
      </c>
      <c r="B62" s="605" t="s">
        <v>161</v>
      </c>
      <c r="C62" s="605"/>
      <c r="D62" s="605"/>
      <c r="E62" s="577">
        <f>SUM(E61)</f>
        <v>-505808.04284751625</v>
      </c>
      <c r="F62" s="573">
        <f>SUM(F61)</f>
        <v>-521577.32165113202</v>
      </c>
    </row>
    <row r="63" spans="1:9">
      <c r="A63" s="604"/>
      <c r="B63" s="605"/>
      <c r="C63" s="605"/>
      <c r="D63" s="605"/>
      <c r="E63" s="605"/>
      <c r="F63" s="570"/>
    </row>
    <row r="64" spans="1:9">
      <c r="A64" s="604">
        <v>18</v>
      </c>
      <c r="B64" s="605" t="s">
        <v>162</v>
      </c>
      <c r="C64" s="605"/>
      <c r="D64" s="605"/>
      <c r="E64" s="605"/>
      <c r="F64" s="570"/>
    </row>
    <row r="65" spans="1:12">
      <c r="A65" s="604">
        <v>19</v>
      </c>
      <c r="B65" s="605"/>
      <c r="C65" s="605" t="s">
        <v>163</v>
      </c>
      <c r="D65" s="569"/>
      <c r="E65" s="577">
        <v>490808.04284751625</v>
      </c>
      <c r="F65" s="573">
        <v>506577.32165113202</v>
      </c>
    </row>
    <row r="66" spans="1:12">
      <c r="A66" s="604">
        <v>20</v>
      </c>
      <c r="B66" s="605"/>
      <c r="C66" s="605" t="s">
        <v>164</v>
      </c>
      <c r="D66" s="569"/>
      <c r="E66" s="577">
        <v>-191503.61900000001</v>
      </c>
      <c r="F66" s="573">
        <v>-4837.5200000000004</v>
      </c>
    </row>
    <row r="67" spans="1:12">
      <c r="A67" s="604">
        <v>21</v>
      </c>
      <c r="B67" s="605"/>
      <c r="C67" s="605" t="s">
        <v>165</v>
      </c>
      <c r="D67" s="569"/>
      <c r="E67" s="577">
        <v>-1873.598</v>
      </c>
      <c r="F67" s="573">
        <v>-12466.001</v>
      </c>
    </row>
    <row r="68" spans="1:12">
      <c r="A68" s="604">
        <v>22</v>
      </c>
      <c r="B68" s="605"/>
      <c r="C68" s="605" t="s">
        <v>166</v>
      </c>
      <c r="D68" s="569"/>
      <c r="E68" s="577">
        <v>-45950</v>
      </c>
      <c r="F68" s="573">
        <v>-213963.23800000001</v>
      </c>
    </row>
    <row r="69" spans="1:12">
      <c r="A69" s="604">
        <v>23</v>
      </c>
      <c r="B69" s="605"/>
      <c r="C69" s="605" t="s">
        <v>167</v>
      </c>
      <c r="D69" s="569"/>
      <c r="E69" s="577">
        <v>-1955.7940000000001</v>
      </c>
      <c r="F69" s="573">
        <v>-21052.574000000001</v>
      </c>
    </row>
    <row r="70" spans="1:12">
      <c r="A70" s="604">
        <v>24</v>
      </c>
      <c r="B70" s="605" t="s">
        <v>168</v>
      </c>
      <c r="C70" s="605"/>
      <c r="D70" s="605"/>
      <c r="E70" s="611">
        <f>SUM(E65:E69)</f>
        <v>249525.03184751625</v>
      </c>
      <c r="F70" s="575">
        <f>SUM(F65:F69)</f>
        <v>254257.98865113201</v>
      </c>
    </row>
    <row r="71" spans="1:12">
      <c r="A71" s="604"/>
      <c r="B71" s="605"/>
      <c r="C71" s="605"/>
      <c r="D71" s="605"/>
      <c r="E71" s="605"/>
      <c r="F71" s="570"/>
    </row>
    <row r="72" spans="1:12">
      <c r="A72" s="604">
        <v>25</v>
      </c>
      <c r="B72" s="605" t="s">
        <v>169</v>
      </c>
      <c r="C72" s="605"/>
      <c r="D72" s="605"/>
      <c r="E72" s="611">
        <f>E70+E62+E56</f>
        <v>249.37324758514296</v>
      </c>
      <c r="F72" s="612">
        <f>F70+F62+F56</f>
        <v>85.2048768849927</v>
      </c>
      <c r="H72" s="558"/>
    </row>
    <row r="73" spans="1:12">
      <c r="A73" s="604"/>
      <c r="B73" s="605"/>
      <c r="C73" s="605"/>
      <c r="D73" s="605"/>
      <c r="E73" s="605"/>
      <c r="F73" s="570"/>
    </row>
    <row r="74" spans="1:12">
      <c r="A74" s="614" t="s">
        <v>456</v>
      </c>
      <c r="B74" s="615"/>
      <c r="C74" s="615"/>
      <c r="D74" s="615"/>
      <c r="E74" s="569"/>
      <c r="F74" s="570"/>
    </row>
    <row r="75" spans="1:12" ht="13.5" thickBot="1">
      <c r="A75" s="616" t="s">
        <v>441</v>
      </c>
      <c r="B75" s="617"/>
      <c r="C75" s="617"/>
      <c r="D75" s="617"/>
      <c r="E75" s="613"/>
      <c r="F75" s="608"/>
    </row>
    <row r="76" spans="1:12">
      <c r="A76" s="560"/>
      <c r="B76" s="560"/>
      <c r="C76" s="560"/>
      <c r="D76" s="560"/>
      <c r="E76" s="551"/>
    </row>
    <row r="77" spans="1:12" ht="13.5" thickBot="1"/>
    <row r="78" spans="1:12" ht="13.5" thickBot="1">
      <c r="A78" s="553"/>
      <c r="B78" s="553"/>
      <c r="C78" s="553"/>
      <c r="D78" s="618" t="s">
        <v>442</v>
      </c>
      <c r="E78" s="619">
        <v>2925.1132675852637</v>
      </c>
      <c r="F78" s="620">
        <v>-6038.4979031151051</v>
      </c>
      <c r="G78" s="553"/>
      <c r="H78" s="553"/>
      <c r="I78" s="553"/>
      <c r="J78" s="553"/>
      <c r="K78" s="553"/>
      <c r="L78" s="553"/>
    </row>
  </sheetData>
  <mergeCells count="7">
    <mergeCell ref="H2:M5"/>
    <mergeCell ref="A39:F39"/>
    <mergeCell ref="A1:F1"/>
    <mergeCell ref="A2:F2"/>
    <mergeCell ref="A3:F3"/>
    <mergeCell ref="A37:F37"/>
    <mergeCell ref="A38:F38"/>
  </mergeCells>
  <pageMargins left="0.25" right="0.25" top="0.75" bottom="0.75" header="0.3" footer="0.3"/>
  <pageSetup scale="54"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abSelected="1" workbookViewId="0">
      <selection activeCell="K12" sqref="K12"/>
    </sheetView>
  </sheetViews>
  <sheetFormatPr defaultRowHeight="12.75"/>
  <cols>
    <col min="1" max="1" width="9.140625" style="549"/>
    <col min="2" max="2" width="45.140625" style="549" customWidth="1"/>
    <col min="3" max="3" width="9.140625" style="549" hidden="1" customWidth="1"/>
    <col min="4" max="4" width="10.5703125" style="549" bestFit="1" customWidth="1"/>
    <col min="5" max="7" width="9.85546875" style="549" bestFit="1" customWidth="1"/>
    <col min="8" max="16384" width="9.140625" style="549"/>
  </cols>
  <sheetData>
    <row r="1" spans="1:14" ht="15" customHeight="1">
      <c r="A1" s="693" t="s">
        <v>443</v>
      </c>
      <c r="B1" s="694"/>
      <c r="C1" s="694"/>
      <c r="D1" s="694"/>
      <c r="E1" s="694"/>
      <c r="F1" s="694"/>
      <c r="G1" s="695"/>
      <c r="I1" s="547" t="s">
        <v>458</v>
      </c>
      <c r="J1" s="548"/>
      <c r="K1" s="548"/>
    </row>
    <row r="2" spans="1:14" ht="15" customHeight="1">
      <c r="A2" s="696" t="s">
        <v>457</v>
      </c>
      <c r="B2" s="697"/>
      <c r="C2" s="697"/>
      <c r="D2" s="697"/>
      <c r="E2" s="697"/>
      <c r="F2" s="697"/>
      <c r="G2" s="698"/>
      <c r="I2" s="699" t="s">
        <v>460</v>
      </c>
      <c r="J2" s="699"/>
      <c r="K2" s="699"/>
      <c r="L2" s="699"/>
      <c r="M2" s="699"/>
      <c r="N2" s="699"/>
    </row>
    <row r="3" spans="1:14" ht="15" customHeight="1">
      <c r="A3" s="696" t="s">
        <v>445</v>
      </c>
      <c r="B3" s="697"/>
      <c r="C3" s="697"/>
      <c r="D3" s="697"/>
      <c r="E3" s="697"/>
      <c r="F3" s="697"/>
      <c r="G3" s="698"/>
      <c r="I3" s="699"/>
      <c r="J3" s="699"/>
      <c r="K3" s="699"/>
      <c r="L3" s="699"/>
      <c r="M3" s="699"/>
      <c r="N3" s="699"/>
    </row>
    <row r="4" spans="1:14" ht="13.5" thickBot="1">
      <c r="A4" s="690" t="s">
        <v>430</v>
      </c>
      <c r="B4" s="691"/>
      <c r="C4" s="691"/>
      <c r="D4" s="691"/>
      <c r="E4" s="691"/>
      <c r="F4" s="691"/>
      <c r="G4" s="692"/>
      <c r="I4" s="699"/>
      <c r="J4" s="699"/>
      <c r="K4" s="699"/>
      <c r="L4" s="699"/>
      <c r="M4" s="699"/>
      <c r="N4" s="699"/>
    </row>
    <row r="5" spans="1:14">
      <c r="A5" s="561"/>
      <c r="B5" s="562"/>
      <c r="C5" s="563"/>
      <c r="D5" s="563"/>
      <c r="E5" s="563"/>
      <c r="F5" s="563"/>
      <c r="G5" s="564"/>
      <c r="I5" s="699"/>
      <c r="J5" s="699"/>
      <c r="K5" s="699"/>
      <c r="L5" s="699"/>
      <c r="M5" s="699"/>
      <c r="N5" s="699"/>
    </row>
    <row r="6" spans="1:14">
      <c r="A6" s="565"/>
      <c r="B6" s="566"/>
      <c r="C6" s="566">
        <v>2013</v>
      </c>
      <c r="D6" s="566"/>
      <c r="E6" s="566">
        <v>2017</v>
      </c>
      <c r="F6" s="566">
        <f t="shared" ref="F6:G6" si="0">E6+1</f>
        <v>2018</v>
      </c>
      <c r="G6" s="567">
        <f t="shared" si="0"/>
        <v>2019</v>
      </c>
      <c r="H6" s="553"/>
      <c r="I6" s="699"/>
      <c r="J6" s="699"/>
      <c r="K6" s="699"/>
      <c r="L6" s="699"/>
      <c r="M6" s="699"/>
      <c r="N6" s="699"/>
    </row>
    <row r="7" spans="1:14">
      <c r="A7" s="568"/>
      <c r="B7" s="569"/>
      <c r="C7" s="569"/>
      <c r="D7" s="569"/>
      <c r="E7" s="569"/>
      <c r="F7" s="569"/>
      <c r="G7" s="570"/>
      <c r="H7" s="553"/>
    </row>
    <row r="8" spans="1:14">
      <c r="A8" s="571" t="s">
        <v>125</v>
      </c>
      <c r="B8" s="569"/>
      <c r="C8" s="572"/>
      <c r="D8" s="572"/>
      <c r="E8" s="572"/>
      <c r="F8" s="572">
        <v>2925.1132675852637</v>
      </c>
      <c r="G8" s="573">
        <v>-6038.4979031151051</v>
      </c>
      <c r="H8" s="553"/>
    </row>
    <row r="9" spans="1:14">
      <c r="A9" s="571" t="s">
        <v>126</v>
      </c>
      <c r="B9" s="569"/>
      <c r="C9" s="569"/>
      <c r="D9" s="572"/>
      <c r="E9" s="574">
        <v>-15000</v>
      </c>
      <c r="F9" s="572">
        <v>-15000</v>
      </c>
      <c r="G9" s="575">
        <v>-15000</v>
      </c>
      <c r="H9" s="553"/>
    </row>
    <row r="10" spans="1:14">
      <c r="A10" s="576" t="s">
        <v>127</v>
      </c>
      <c r="B10" s="569"/>
      <c r="C10" s="569"/>
      <c r="D10" s="574"/>
      <c r="E10" s="574">
        <v>444000</v>
      </c>
      <c r="F10" s="574">
        <f>E11</f>
        <v>402000</v>
      </c>
      <c r="G10" s="573">
        <f>F11</f>
        <v>389925.11326758529</v>
      </c>
      <c r="H10" s="553"/>
    </row>
    <row r="11" spans="1:14">
      <c r="A11" s="576" t="s">
        <v>128</v>
      </c>
      <c r="B11" s="569"/>
      <c r="C11" s="577">
        <v>459000</v>
      </c>
      <c r="D11" s="574"/>
      <c r="E11" s="574">
        <f>E12</f>
        <v>402000</v>
      </c>
      <c r="F11" s="574">
        <f>SUM(F8:F10)</f>
        <v>389925.11326758529</v>
      </c>
      <c r="G11" s="575">
        <f>SUM(G8:G10)</f>
        <v>368886.61536447017</v>
      </c>
      <c r="H11" s="553"/>
    </row>
    <row r="12" spans="1:14">
      <c r="A12" s="576" t="s">
        <v>446</v>
      </c>
      <c r="B12" s="569"/>
      <c r="C12" s="577"/>
      <c r="D12" s="578"/>
      <c r="E12" s="574">
        <v>402000</v>
      </c>
      <c r="F12" s="574"/>
      <c r="G12" s="575"/>
      <c r="H12" s="553"/>
    </row>
    <row r="13" spans="1:14">
      <c r="A13" s="576" t="s">
        <v>129</v>
      </c>
      <c r="B13" s="569"/>
      <c r="C13" s="572">
        <f>ROUND((C11+C10)*0.5,0)</f>
        <v>229500</v>
      </c>
      <c r="D13" s="572"/>
      <c r="E13" s="572">
        <f>ROUND((E10+E11)*0.5,0)</f>
        <v>423000</v>
      </c>
      <c r="F13" s="572">
        <f>ROUND((F10+F11)*0.5,0)</f>
        <v>395963</v>
      </c>
      <c r="G13" s="573">
        <f>ROUND((G10+G11)*0.5,0)</f>
        <v>379406</v>
      </c>
      <c r="H13" s="553"/>
    </row>
    <row r="14" spans="1:14">
      <c r="A14" s="579" t="s">
        <v>130</v>
      </c>
      <c r="B14" s="569"/>
      <c r="C14" s="580">
        <v>1.52E-2</v>
      </c>
      <c r="D14" s="580"/>
      <c r="E14" s="580">
        <v>1.72E-3</v>
      </c>
      <c r="F14" s="580">
        <v>4.4600000000000004E-3</v>
      </c>
      <c r="G14" s="581">
        <v>6.6299999999999996E-3</v>
      </c>
      <c r="H14" s="553"/>
    </row>
    <row r="15" spans="1:14">
      <c r="A15" s="568" t="s">
        <v>131</v>
      </c>
      <c r="B15" s="569"/>
      <c r="C15" s="569"/>
      <c r="D15" s="578"/>
      <c r="E15" s="578">
        <f>E13*E14</f>
        <v>727.56</v>
      </c>
      <c r="F15" s="578">
        <f>F13*F14</f>
        <v>1765.9949800000002</v>
      </c>
      <c r="G15" s="582">
        <f>G13*G14</f>
        <v>2515.4617799999996</v>
      </c>
      <c r="H15" s="553"/>
    </row>
    <row r="16" spans="1:14">
      <c r="A16" s="583" t="s">
        <v>132</v>
      </c>
      <c r="B16" s="569"/>
      <c r="C16" s="569"/>
      <c r="D16" s="584"/>
      <c r="E16" s="584">
        <v>131.01900000000001</v>
      </c>
      <c r="F16" s="584">
        <v>223.274</v>
      </c>
      <c r="G16" s="585">
        <v>959.23500000000001</v>
      </c>
      <c r="H16" s="553"/>
    </row>
    <row r="17" spans="1:9">
      <c r="A17" s="586"/>
      <c r="B17" s="569"/>
      <c r="C17" s="569"/>
      <c r="D17" s="569"/>
      <c r="E17" s="569"/>
      <c r="F17" s="569"/>
      <c r="G17" s="570"/>
      <c r="H17" s="553"/>
    </row>
    <row r="18" spans="1:9">
      <c r="A18" s="568" t="s">
        <v>447</v>
      </c>
      <c r="B18" s="569"/>
      <c r="C18" s="569"/>
      <c r="D18" s="569"/>
      <c r="E18" s="569"/>
      <c r="F18" s="569"/>
      <c r="G18" s="570"/>
      <c r="H18" s="553"/>
    </row>
    <row r="19" spans="1:9">
      <c r="A19" s="576" t="s">
        <v>127</v>
      </c>
      <c r="B19" s="569"/>
      <c r="C19" s="569"/>
      <c r="D19" s="574"/>
      <c r="E19" s="574">
        <v>73000</v>
      </c>
      <c r="F19" s="574">
        <f>E20</f>
        <v>63000</v>
      </c>
      <c r="G19" s="575">
        <f>F20</f>
        <v>40000</v>
      </c>
      <c r="H19" s="553"/>
    </row>
    <row r="20" spans="1:9">
      <c r="A20" s="576" t="s">
        <v>128</v>
      </c>
      <c r="B20" s="569"/>
      <c r="C20" s="577">
        <v>120000</v>
      </c>
      <c r="D20" s="572"/>
      <c r="E20" s="572">
        <f>E21</f>
        <v>63000</v>
      </c>
      <c r="F20" s="572">
        <v>40000</v>
      </c>
      <c r="G20" s="573">
        <v>40000</v>
      </c>
      <c r="H20" s="553"/>
    </row>
    <row r="21" spans="1:9">
      <c r="A21" s="576" t="s">
        <v>202</v>
      </c>
      <c r="B21" s="569"/>
      <c r="C21" s="577"/>
      <c r="D21" s="584"/>
      <c r="E21" s="572">
        <v>63000</v>
      </c>
      <c r="F21" s="572"/>
      <c r="G21" s="573"/>
      <c r="H21" s="553"/>
    </row>
    <row r="22" spans="1:9">
      <c r="A22" s="576" t="s">
        <v>129</v>
      </c>
      <c r="B22" s="569"/>
      <c r="C22" s="572">
        <f>ROUND((C20+C19)*0.5,0)</f>
        <v>60000</v>
      </c>
      <c r="D22" s="572"/>
      <c r="E22" s="572">
        <f>ROUND((E19+E20)*0.5,0)</f>
        <v>68000</v>
      </c>
      <c r="F22" s="572">
        <f t="shared" ref="F22:G22" si="1">ROUND((F19+F20)*0.5,0)</f>
        <v>51500</v>
      </c>
      <c r="G22" s="573">
        <f t="shared" si="1"/>
        <v>40000</v>
      </c>
      <c r="H22" s="553"/>
    </row>
    <row r="23" spans="1:9">
      <c r="A23" s="583" t="s">
        <v>448</v>
      </c>
      <c r="B23" s="569"/>
      <c r="C23" s="574">
        <f>C22*C14+C24</f>
        <v>1112</v>
      </c>
      <c r="D23" s="574"/>
      <c r="E23" s="574">
        <f>E22*E14</f>
        <v>116.96</v>
      </c>
      <c r="F23" s="574">
        <f t="shared" ref="F23:G23" si="2">F22*F14</f>
        <v>229.69000000000003</v>
      </c>
      <c r="G23" s="575">
        <f t="shared" si="2"/>
        <v>265.2</v>
      </c>
      <c r="H23" s="553"/>
    </row>
    <row r="24" spans="1:9">
      <c r="A24" s="587" t="s">
        <v>133</v>
      </c>
      <c r="B24" s="569"/>
      <c r="C24" s="572">
        <v>200</v>
      </c>
      <c r="D24" s="572"/>
      <c r="E24" s="572">
        <v>200</v>
      </c>
      <c r="F24" s="572">
        <v>200</v>
      </c>
      <c r="G24" s="573">
        <v>200</v>
      </c>
      <c r="H24" s="553"/>
    </row>
    <row r="25" spans="1:9">
      <c r="A25" s="586"/>
      <c r="B25" s="569"/>
      <c r="C25" s="569"/>
      <c r="D25" s="569"/>
      <c r="E25" s="569"/>
      <c r="F25" s="569"/>
      <c r="G25" s="570"/>
      <c r="H25" s="553"/>
    </row>
    <row r="26" spans="1:9" ht="13.5" thickBot="1">
      <c r="A26" s="588" t="s">
        <v>134</v>
      </c>
      <c r="B26" s="589"/>
      <c r="C26" s="589"/>
      <c r="D26" s="590"/>
      <c r="E26" s="590">
        <f>E15+E16+E23+E24</f>
        <v>1175.539</v>
      </c>
      <c r="F26" s="590">
        <f>F15+F16+F23+F24</f>
        <v>2418.9589800000003</v>
      </c>
      <c r="G26" s="591">
        <f>G15+G16+G23+G24</f>
        <v>3939.8967799999996</v>
      </c>
      <c r="H26" s="553"/>
    </row>
    <row r="27" spans="1:9" ht="13.5" thickBot="1">
      <c r="I27" s="558"/>
    </row>
    <row r="28" spans="1:9">
      <c r="B28" s="561" t="s">
        <v>449</v>
      </c>
      <c r="C28" s="563"/>
      <c r="D28" s="592"/>
      <c r="E28" s="592">
        <f>E10*E14</f>
        <v>763.68</v>
      </c>
      <c r="F28" s="593">
        <f>F10*F14</f>
        <v>1792.92</v>
      </c>
    </row>
    <row r="29" spans="1:9">
      <c r="B29" s="594" t="s">
        <v>450</v>
      </c>
      <c r="C29" s="569"/>
      <c r="D29" s="574"/>
      <c r="E29" s="574">
        <f>E16</f>
        <v>131.01900000000001</v>
      </c>
      <c r="F29" s="575">
        <f>F16</f>
        <v>223.274</v>
      </c>
    </row>
    <row r="30" spans="1:9" ht="13.5" thickBot="1">
      <c r="B30" s="595" t="s">
        <v>451</v>
      </c>
      <c r="C30" s="589"/>
      <c r="D30" s="596"/>
      <c r="E30" s="596">
        <f>SUM(E28:E29)</f>
        <v>894.69899999999996</v>
      </c>
      <c r="F30" s="597">
        <f>SUM(F28:F29)</f>
        <v>2016.194</v>
      </c>
    </row>
  </sheetData>
  <mergeCells count="5">
    <mergeCell ref="A1:G1"/>
    <mergeCell ref="A2:G2"/>
    <mergeCell ref="A3:G3"/>
    <mergeCell ref="A4:G4"/>
    <mergeCell ref="I2:N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7E4F87D683DDE499BA8FCA1E46A8DBD" ma:contentTypeVersion="0" ma:contentTypeDescription="Create a new document." ma:contentTypeScope="" ma:versionID="2ffc98c1ec6caa8422d730fe54b18dce">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F1B5D9-124D-4B75-A2B0-94B935C3CB29}"/>
</file>

<file path=customXml/itemProps2.xml><?xml version="1.0" encoding="utf-8"?>
<ds:datastoreItem xmlns:ds="http://schemas.openxmlformats.org/officeDocument/2006/customXml" ds:itemID="{F2F16E15-615A-4330-B837-8876A1AB2200}"/>
</file>

<file path=customXml/itemProps3.xml><?xml version="1.0" encoding="utf-8"?>
<ds:datastoreItem xmlns:ds="http://schemas.openxmlformats.org/officeDocument/2006/customXml" ds:itemID="{C3EF3BCE-1CB8-4C2C-8546-0127A07B23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2</vt:i4>
      </vt:variant>
    </vt:vector>
  </HeadingPairs>
  <TitlesOfParts>
    <vt:vector size="18" baseType="lpstr">
      <vt:lpstr>Long-Term Debt Mng RR</vt:lpstr>
      <vt:lpstr>Crosswalk</vt:lpstr>
      <vt:lpstr>Revenue Requirement</vt:lpstr>
      <vt:lpstr>Segmented Rev Req.</vt:lpstr>
      <vt:lpstr>Expense Input File</vt:lpstr>
      <vt:lpstr>Capital Input File</vt:lpstr>
      <vt:lpstr>Repayment Inputs</vt:lpstr>
      <vt:lpstr>AFUDC</vt:lpstr>
      <vt:lpstr>Interest Income</vt:lpstr>
      <vt:lpstr>Ancillary Services</vt:lpstr>
      <vt:lpstr>18 Seg Dev</vt:lpstr>
      <vt:lpstr>19 Seg Dev</vt:lpstr>
      <vt:lpstr>Current Rev Req</vt:lpstr>
      <vt:lpstr>Current Interest Income</vt:lpstr>
      <vt:lpstr>Rev. Rev. Req.</vt:lpstr>
      <vt:lpstr>Revised Interest Income</vt:lpstr>
      <vt:lpstr>Crosswalk!Print_Area</vt:lpstr>
      <vt:lpstr>'Expense Input File'!Print_Area</vt:lpstr>
    </vt:vector>
  </TitlesOfParts>
  <Company>Bonneville Power Administration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BPA User</dc:creator>
  <cp:lastModifiedBy>Miranda Gestrin</cp:lastModifiedBy>
  <cp:lastPrinted>2015-08-24T19:39:27Z</cp:lastPrinted>
  <dcterms:created xsi:type="dcterms:W3CDTF">2014-02-20T15:37:27Z</dcterms:created>
  <dcterms:modified xsi:type="dcterms:W3CDTF">2017-08-04T18:05:15Z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0x01010047E4F87D683DDE499BA8FCA1E46A8DBD</vt:lpwstr>
  </property>
</Properties>
</file>